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reportes de OAI\REPORTE 2023\"/>
    </mc:Choice>
  </mc:AlternateContent>
  <xr:revisionPtr revIDLastSave="0" documentId="13_ncr:1_{85350DB1-2678-4F24-B838-87D20F32ADA3}" xr6:coauthVersionLast="47" xr6:coauthVersionMax="47" xr10:uidLastSave="{00000000-0000-0000-0000-000000000000}"/>
  <bookViews>
    <workbookView xWindow="-28908" yWindow="-108" windowWidth="29016" windowHeight="15696" activeTab="1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Presupuesto'!$A$2:$H$106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0" i="2" l="1"/>
  <c r="H78" i="2"/>
  <c r="H67" i="2"/>
  <c r="H66" i="2"/>
  <c r="H39" i="2"/>
  <c r="H37" i="2"/>
  <c r="H36" i="2"/>
  <c r="H32" i="2"/>
  <c r="H31" i="2"/>
  <c r="H30" i="2"/>
  <c r="H28" i="2"/>
  <c r="H21" i="2"/>
  <c r="H20" i="2"/>
  <c r="H19" i="2"/>
  <c r="H16" i="2"/>
  <c r="H15" i="2"/>
  <c r="H14" i="2"/>
  <c r="H13" i="2"/>
  <c r="G90" i="2"/>
  <c r="G78" i="2"/>
  <c r="H57" i="2"/>
  <c r="H35" i="2"/>
  <c r="H29" i="2"/>
  <c r="G67" i="2"/>
  <c r="G66" i="2" s="1"/>
  <c r="H56" i="2"/>
  <c r="G31" i="2"/>
  <c r="G30" i="2" s="1"/>
  <c r="G21" i="2"/>
  <c r="G28" i="2"/>
  <c r="G20" i="2" s="1"/>
  <c r="G19" i="2"/>
  <c r="G14" i="2" s="1"/>
  <c r="G15" i="2"/>
  <c r="G13" i="2" l="1"/>
  <c r="F67" i="2"/>
  <c r="F66" i="2" s="1"/>
  <c r="H34" i="2"/>
  <c r="F56" i="2"/>
  <c r="F39" i="2"/>
  <c r="F37" i="2"/>
  <c r="F31" i="2"/>
  <c r="F28" i="2"/>
  <c r="F21" i="2"/>
  <c r="F19" i="2"/>
  <c r="F15" i="2"/>
  <c r="E29" i="2"/>
  <c r="E21" i="2"/>
  <c r="E66" i="2"/>
  <c r="F20" i="2" l="1"/>
  <c r="F14" i="2"/>
  <c r="F30" i="2"/>
  <c r="D30" i="2"/>
  <c r="Y28" i="2"/>
  <c r="E37" i="2"/>
  <c r="E30" i="2" s="1"/>
  <c r="E28" i="2"/>
  <c r="E27" i="2"/>
  <c r="H27" i="2" s="1"/>
  <c r="E19" i="2"/>
  <c r="E15" i="2"/>
  <c r="Y26" i="2"/>
  <c r="F13" i="2" l="1"/>
  <c r="F78" i="2" s="1"/>
  <c r="F90" i="2" s="1"/>
  <c r="E20" i="2"/>
  <c r="E14" i="2"/>
  <c r="D66" i="2"/>
  <c r="D21" i="2"/>
  <c r="D28" i="2"/>
  <c r="D19" i="2"/>
  <c r="D15" i="2"/>
  <c r="E13" i="2" l="1"/>
  <c r="E78" i="2" s="1"/>
  <c r="E90" i="2" s="1"/>
  <c r="D14" i="2"/>
  <c r="D20" i="2"/>
  <c r="C39" i="2"/>
  <c r="C57" i="2"/>
  <c r="C68" i="2"/>
  <c r="C28" i="2"/>
  <c r="C27" i="2"/>
  <c r="C15" i="2"/>
  <c r="C25" i="2"/>
  <c r="D13" i="2" l="1"/>
  <c r="C19" i="2"/>
  <c r="C22" i="2"/>
  <c r="C21" i="2"/>
  <c r="C36" i="2"/>
  <c r="C32" i="2"/>
  <c r="C16" i="2"/>
  <c r="C67" i="2"/>
  <c r="C66" i="2" s="1"/>
  <c r="B67" i="2"/>
  <c r="C33" i="2"/>
  <c r="C29" i="2"/>
  <c r="C61" i="2"/>
  <c r="C37" i="2"/>
  <c r="C35" i="2"/>
  <c r="C31" i="2"/>
  <c r="C23" i="2"/>
  <c r="B57" i="2"/>
  <c r="B68" i="2"/>
  <c r="B28" i="2"/>
  <c r="B15" i="2"/>
  <c r="B60" i="2"/>
  <c r="B24" i="2"/>
  <c r="B19" i="2"/>
  <c r="B16" i="2"/>
  <c r="C40" i="2"/>
  <c r="B40" i="2"/>
  <c r="D78" i="2" l="1"/>
  <c r="B20" i="2"/>
  <c r="B66" i="2"/>
  <c r="C56" i="2"/>
  <c r="C30" i="2"/>
  <c r="C20" i="2"/>
  <c r="C14" i="2"/>
  <c r="B30" i="2"/>
  <c r="D90" i="2" l="1"/>
  <c r="C13" i="2"/>
  <c r="B56" i="2"/>
  <c r="B14" i="2"/>
  <c r="B13" i="2" l="1"/>
  <c r="C78" i="2"/>
  <c r="C90" i="2" s="1"/>
  <c r="B78" i="2" l="1"/>
  <c r="B9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<sst xmlns="http://schemas.openxmlformats.org/spreadsheetml/2006/main" count="101" uniqueCount="101">
  <si>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</si>
  <si>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</si>
  <si>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</si>
  <si>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</si>
  <si>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</si>
  <si>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</si>
  <si>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</si>
  <si>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</si>
  <si>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</si>
  <si>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</si>
  <si>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</si>
  <si>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</si>
  <si>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</si>
  <si>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</si>
  <si>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</si>
  <si>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</si>
  <si>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</si>
  <si>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</si>
  <si>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</si>
  <si>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</si>
  <si>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</si>
  <si>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</si>
  <si>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</si>
  <si>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</si>
  <si>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</si>
  <si>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</si>
  <si>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</si>
  <si>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</si>
  <si>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</si>
  <si>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</si>
  <si>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</si>
  <si>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</si>
  <si>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</si>
  <si>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</si>
  <si>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</si>
  <si>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</si>
  <si>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</si>
  <si>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</si>
  <si>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</si>
  <si>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</si>
  <si>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</si>
  <si>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</si>
  <si>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</si>
  <si>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</si>
  <si>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</si>
  <si>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</si>
  <si>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</si>
  <si>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</si>
  <si>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</si>
  <si>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</si>
  <si>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</si>
  <si>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</si>
  <si>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</si>
  <si>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</si>
  <si>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</si>
  <si>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</si>
  <si>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</si>
  <si>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</si>
  <si>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</si>
  <si>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</si>
  <si>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</si>
  <si>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</si>
  <si>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</si>
  <si>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</si>
  <si>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</si>
  <si>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</si>
  <si>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</si>
  <si>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</si>
  <si>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</si>
  <si>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</si>
  <si>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</si>
  <si>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</si>
  <si>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</si>
  <si>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</si>
  <si>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</si>
  <si>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</si>
  <si>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</si>
  <si>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</si>
  <si>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</si>
  <si>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</si>
  <si>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</si>
  <si>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</si>
  <si>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>un presupuesto complementario.</t>
  </si>
  <si>
    <t>cumplido los requisitos administrativos dispuestos por el reglamento de la presente Ley.</t>
  </si>
  <si>
    <t xml:space="preserve">de obras, bienes y servicios oportunmente contratados o, en los casos de gastos sin contrapretación, por haberse </t>
  </si>
  <si>
    <t>Unidad Ejecutada para la Readecuacion de Barrios y Entornos</t>
  </si>
  <si>
    <t>AÑO 2023</t>
  </si>
  <si>
    <t xml:space="preserve">                                      </t>
  </si>
  <si>
    <t xml:space="preserve">Presupuesto de Gastos y Aplicaciones Financieras </t>
  </si>
  <si>
    <t xml:space="preserve">                                                  Elaborado por                                                           Revisado por                                                           Aprobado por                         </t>
  </si>
  <si>
    <t xml:space="preserve">                                             Yovanny  De La Rosa                                           Gaylord Rafael Diaz                                                      Daniel Quiñones</t>
  </si>
  <si>
    <t xml:space="preserve">                                                      Contador                                                         Asesor Financiero                                                     Director Financiero</t>
  </si>
  <si>
    <r>
      <rPr>
        <b/>
        <sz val="11"/>
        <color theme="1"/>
        <rFont val="Gotham"/>
      </rPr>
      <t>Presupuesto aprobado</t>
    </r>
    <r>
      <rPr>
        <sz val="11"/>
        <color theme="1"/>
        <rFont val="Gotham"/>
      </rPr>
      <t>: Se refiere al prepuesto aprobado en Ley de Prespuesto General del Estado</t>
    </r>
  </si>
  <si>
    <r>
      <rPr>
        <b/>
        <sz val="11"/>
        <color theme="1"/>
        <rFont val="Gotham"/>
      </rPr>
      <t>Presupuesto modificado</t>
    </r>
    <r>
      <rPr>
        <sz val="11"/>
        <color theme="1"/>
        <rFont val="Gotham"/>
      </rPr>
      <t xml:space="preserve">: Se refiere al prespuesto aprobado en caso de que el Congreso Nacional apruebe </t>
    </r>
  </si>
  <si>
    <r>
      <t xml:space="preserve">Total devengado: </t>
    </r>
    <r>
      <rPr>
        <sz val="11"/>
        <color theme="1"/>
        <rFont val="Gotham"/>
      </rPr>
      <t>Son los recursos financieros que surge con la obligacion de pago por la recepción de conformidad</t>
    </r>
  </si>
  <si>
    <t xml:space="preserve">ENERO </t>
  </si>
  <si>
    <t>TOTAL</t>
  </si>
  <si>
    <t>FEBRERO</t>
  </si>
  <si>
    <t>MARZO</t>
  </si>
  <si>
    <t>ABRIL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</si>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</sst>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theme="1"/>
      <name val="Gotham"/>
    </font>
    <font>
      <b/>
      <sz val="14"/>
      <color theme="1"/>
      <name val="Gotham"/>
    </font>
    <font>
      <b/>
      <sz val="12"/>
      <color theme="1"/>
      <name val="Gotham"/>
    </font>
    <font>
      <sz val="12"/>
      <color theme="1"/>
      <name val="Gotham"/>
    </font>
    <font>
      <b/>
      <sz val="11"/>
      <color theme="1"/>
      <name val="Gotham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7" fillId="3" borderId="0" xfId="0" applyFont="1" applyFill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3" fontId="9" fillId="0" borderId="5" xfId="1" applyFont="1" applyBorder="1" applyAlignment="1">
      <alignment horizontal="left" vertical="center" wrapText="1"/>
    </xf>
    <xf numFmtId="43" fontId="5" fillId="0" borderId="0" xfId="1" applyFont="1"/>
    <xf numFmtId="0" fontId="9" fillId="0" borderId="0" xfId="0" applyFont="1" applyAlignment="1">
      <alignment horizontal="left" vertical="center" wrapText="1"/>
    </xf>
    <xf numFmtId="43" fontId="9" fillId="0" borderId="8" xfId="1" applyFont="1" applyBorder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64" fontId="5" fillId="0" borderId="3" xfId="0" applyNumberFormat="1" applyFont="1" applyBorder="1" applyAlignment="1">
      <alignment vertical="center" wrapText="1"/>
    </xf>
    <xf numFmtId="43" fontId="5" fillId="0" borderId="3" xfId="0" applyNumberFormat="1" applyFont="1" applyBorder="1" applyAlignment="1">
      <alignment vertical="center" wrapText="1"/>
    </xf>
    <xf numFmtId="43" fontId="9" fillId="0" borderId="6" xfId="1" applyFont="1" applyBorder="1" applyAlignment="1">
      <alignment vertical="center" wrapText="1"/>
    </xf>
    <xf numFmtId="164" fontId="5" fillId="0" borderId="9" xfId="0" applyNumberFormat="1" applyFont="1" applyBorder="1" applyAlignment="1">
      <alignment vertical="center" wrapText="1"/>
    </xf>
    <xf numFmtId="43" fontId="5" fillId="0" borderId="3" xfId="1" applyFont="1" applyBorder="1"/>
    <xf numFmtId="43" fontId="5" fillId="0" borderId="6" xfId="1" applyFont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164" fontId="9" fillId="0" borderId="3" xfId="0" applyNumberFormat="1" applyFont="1" applyBorder="1" applyAlignment="1">
      <alignment vertical="center" wrapText="1"/>
    </xf>
    <xf numFmtId="0" fontId="5" fillId="0" borderId="4" xfId="0" applyFont="1" applyBorder="1"/>
    <xf numFmtId="0" fontId="7" fillId="3" borderId="2" xfId="0" applyFont="1" applyFill="1" applyBorder="1" applyAlignment="1">
      <alignment horizontal="left" vertical="center" wrapText="1"/>
    </xf>
    <xf numFmtId="43" fontId="9" fillId="0" borderId="10" xfId="1" applyFont="1" applyBorder="1" applyAlignment="1">
      <alignment vertical="center" wrapText="1"/>
    </xf>
    <xf numFmtId="0" fontId="9" fillId="0" borderId="0" xfId="0" applyFont="1"/>
    <xf numFmtId="43" fontId="5" fillId="0" borderId="0" xfId="0" applyNumberFormat="1" applyFont="1"/>
    <xf numFmtId="43" fontId="9" fillId="0" borderId="12" xfId="1" applyFont="1" applyBorder="1" applyAlignment="1">
      <alignment horizontal="left" vertical="center" wrapText="1"/>
    </xf>
    <xf numFmtId="43" fontId="9" fillId="0" borderId="13" xfId="1" applyFont="1" applyBorder="1" applyAlignment="1">
      <alignment vertical="center" wrapText="1"/>
    </xf>
    <xf numFmtId="43" fontId="5" fillId="0" borderId="14" xfId="0" applyNumberFormat="1" applyFont="1" applyBorder="1" applyAlignment="1">
      <alignment vertical="center" wrapText="1"/>
    </xf>
    <xf numFmtId="164" fontId="5" fillId="0" borderId="14" xfId="0" applyNumberFormat="1" applyFont="1" applyBorder="1" applyAlignment="1">
      <alignment vertical="center" wrapText="1"/>
    </xf>
    <xf numFmtId="43" fontId="9" fillId="0" borderId="15" xfId="1" applyFont="1" applyBorder="1" applyAlignment="1">
      <alignment vertical="center" wrapText="1"/>
    </xf>
    <xf numFmtId="164" fontId="5" fillId="0" borderId="16" xfId="0" applyNumberFormat="1" applyFont="1" applyBorder="1" applyAlignment="1">
      <alignment vertical="center" wrapText="1"/>
    </xf>
    <xf numFmtId="164" fontId="5" fillId="4" borderId="14" xfId="0" applyNumberFormat="1" applyFont="1" applyFill="1" applyBorder="1" applyAlignment="1">
      <alignment vertical="center" wrapText="1"/>
    </xf>
    <xf numFmtId="43" fontId="5" fillId="4" borderId="14" xfId="0" applyNumberFormat="1" applyFont="1" applyFill="1" applyBorder="1" applyAlignment="1">
      <alignment vertical="center" wrapText="1"/>
    </xf>
    <xf numFmtId="43" fontId="5" fillId="0" borderId="14" xfId="1" applyFont="1" applyBorder="1"/>
    <xf numFmtId="0" fontId="5" fillId="0" borderId="14" xfId="0" applyFont="1" applyBorder="1"/>
    <xf numFmtId="43" fontId="5" fillId="0" borderId="17" xfId="1" applyFont="1" applyBorder="1"/>
    <xf numFmtId="43" fontId="9" fillId="0" borderId="17" xfId="1" applyFont="1" applyBorder="1"/>
    <xf numFmtId="43" fontId="5" fillId="0" borderId="14" xfId="0" applyNumberFormat="1" applyFont="1" applyBorder="1"/>
    <xf numFmtId="0" fontId="5" fillId="0" borderId="11" xfId="0" applyFont="1" applyBorder="1"/>
    <xf numFmtId="43" fontId="9" fillId="0" borderId="18" xfId="1" applyFont="1" applyBorder="1" applyAlignment="1">
      <alignment vertical="center" wrapText="1"/>
    </xf>
    <xf numFmtId="43" fontId="5" fillId="0" borderId="4" xfId="1" applyFont="1" applyBorder="1"/>
    <xf numFmtId="43" fontId="5" fillId="0" borderId="9" xfId="1" applyFont="1" applyBorder="1"/>
    <xf numFmtId="43" fontId="5" fillId="0" borderId="19" xfId="1" applyFont="1" applyBorder="1"/>
    <xf numFmtId="43" fontId="9" fillId="0" borderId="9" xfId="1" applyFont="1" applyBorder="1"/>
    <xf numFmtId="43" fontId="9" fillId="0" borderId="19" xfId="1" applyFont="1" applyBorder="1"/>
    <xf numFmtId="43" fontId="5" fillId="0" borderId="5" xfId="1" applyFont="1" applyBorder="1"/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3" fontId="9" fillId="0" borderId="20" xfId="1" applyFont="1" applyBorder="1"/>
    <xf numFmtId="43" fontId="8" fillId="0" borderId="0" xfId="1" applyFont="1"/>
    <xf numFmtId="43" fontId="5" fillId="0" borderId="0" xfId="1" applyFont="1" applyBorder="1"/>
    <xf numFmtId="0" fontId="5" fillId="0" borderId="0" xfId="0" applyFont="1" applyAlignment="1">
      <alignment horizontal="center"/>
    </xf>
    <xf numFmtId="43" fontId="9" fillId="0" borderId="0" xfId="0" applyNumberFormat="1" applyFont="1"/>
    <xf numFmtId="43" fontId="5" fillId="4" borderId="0" xfId="1" applyFont="1" applyFill="1"/>
    <xf numFmtId="0" fontId="5" fillId="4" borderId="0" xfId="0" applyFont="1" applyFill="1"/>
    <xf numFmtId="43" fontId="5" fillId="4" borderId="3" xfId="1" applyFont="1" applyFill="1" applyBorder="1"/>
    <xf numFmtId="43" fontId="9" fillId="0" borderId="21" xfId="0" applyNumberFormat="1" applyFont="1" applyBorder="1"/>
    <xf numFmtId="43" fontId="9" fillId="0" borderId="0" xfId="1" applyFont="1" applyBorder="1"/>
    <xf numFmtId="0" fontId="9" fillId="4" borderId="0" xfId="0" applyFont="1" applyFill="1" applyAlignment="1">
      <alignment horizontal="center"/>
    </xf>
    <xf numFmtId="43" fontId="5" fillId="4" borderId="0" xfId="1" applyFont="1" applyFill="1" applyBorder="1"/>
    <xf numFmtId="43" fontId="5" fillId="4" borderId="0" xfId="1" applyFont="1" applyFill="1" applyBorder="1" applyAlignment="1">
      <alignment horizontal="center"/>
    </xf>
    <xf numFmtId="0" fontId="9" fillId="4" borderId="0" xfId="0" applyFont="1" applyFill="1" applyAlignment="1">
      <alignment horizontal="right"/>
    </xf>
    <xf numFmtId="43" fontId="9" fillId="4" borderId="0" xfId="1" applyFont="1" applyFill="1" applyBorder="1"/>
    <xf numFmtId="43" fontId="5" fillId="4" borderId="0" xfId="0" applyNumberFormat="1" applyFont="1" applyFill="1"/>
    <xf numFmtId="43" fontId="5" fillId="0" borderId="6" xfId="1" applyFont="1" applyBorder="1"/>
    <xf numFmtId="43" fontId="5" fillId="0" borderId="22" xfId="1" applyFont="1" applyBorder="1"/>
    <xf numFmtId="43" fontId="5" fillId="0" borderId="7" xfId="1" applyFont="1" applyBorder="1"/>
    <xf numFmtId="43" fontId="5" fillId="4" borderId="3" xfId="0" applyNumberFormat="1" applyFont="1" applyFill="1" applyBorder="1"/>
    <xf numFmtId="0" fontId="9" fillId="5" borderId="6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24" xfId="0" applyFont="1" applyFill="1" applyBorder="1" applyAlignment="1">
      <alignment horizontal="center"/>
    </xf>
    <xf numFmtId="43" fontId="5" fillId="4" borderId="0" xfId="1" applyFont="1" applyFill="1" applyBorder="1" applyAlignment="1">
      <alignment horizontal="right"/>
    </xf>
    <xf numFmtId="0" fontId="5" fillId="0" borderId="3" xfId="0" applyFont="1" applyBorder="1"/>
    <xf numFmtId="43" fontId="8" fillId="0" borderId="0" xfId="0" applyNumberFormat="1" applyFont="1"/>
    <xf numFmtId="43" fontId="9" fillId="4" borderId="0" xfId="0" applyNumberFormat="1" applyFont="1" applyFill="1"/>
    <xf numFmtId="0" fontId="5" fillId="4" borderId="0" xfId="0" applyFont="1" applyFill="1" applyAlignment="1">
      <alignment horizontal="right"/>
    </xf>
    <xf numFmtId="0" fontId="9" fillId="4" borderId="0" xfId="0" applyFont="1" applyFill="1"/>
    <xf numFmtId="0" fontId="8" fillId="4" borderId="0" xfId="0" applyFont="1" applyFill="1"/>
    <xf numFmtId="43" fontId="9" fillId="4" borderId="0" xfId="1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43" fontId="9" fillId="4" borderId="0" xfId="0" applyNumberFormat="1" applyFont="1" applyFill="1" applyAlignment="1">
      <alignment horizontal="center"/>
    </xf>
    <xf numFmtId="43" fontId="5" fillId="4" borderId="0" xfId="1" applyFont="1" applyFill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43" fontId="4" fillId="4" borderId="0" xfId="1" applyFont="1" applyFill="1" applyBorder="1" applyAlignment="1">
      <alignment horizontal="right" vertical="top" indent="3" shrinkToFit="1"/>
    </xf>
    <xf numFmtId="0" fontId="0" fillId="4" borderId="0" xfId="0" applyFill="1" applyBorder="1"/>
    <xf numFmtId="0" fontId="2" fillId="4" borderId="0" xfId="0" applyFont="1" applyFill="1" applyBorder="1" applyAlignment="1">
      <alignment horizontal="center"/>
    </xf>
    <xf numFmtId="43" fontId="3" fillId="4" borderId="0" xfId="1" applyFont="1" applyFill="1" applyBorder="1"/>
    <xf numFmtId="0" fontId="3" fillId="4" borderId="0" xfId="0" applyFont="1" applyFill="1" applyBorder="1"/>
    <xf numFmtId="43" fontId="3" fillId="4" borderId="0" xfId="0" applyNumberFormat="1" applyFont="1" applyFill="1" applyBorder="1"/>
    <xf numFmtId="43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43" fontId="2" fillId="4" borderId="0" xfId="1" applyFont="1" applyFill="1" applyBorder="1" applyAlignment="1">
      <alignment horizontal="center" vertical="center"/>
    </xf>
    <xf numFmtId="0" fontId="2" fillId="4" borderId="0" xfId="0" applyFont="1" applyFill="1" applyBorder="1"/>
    <xf numFmtId="43" fontId="2" fillId="4" borderId="0" xfId="1" applyFont="1" applyFill="1" applyBorder="1"/>
    <xf numFmtId="43" fontId="2" fillId="4" borderId="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6"/>
  <sheetViews>
    <sheetView showGridLines="0" topLeftCell="A42" zoomScaleNormal="100" workbookViewId="0">
      <selection activeCell="L15" sqref="L15"/>
    </sheetView>
  </sheetViews>
  <sheetFormatPr baseColWidth="10" defaultColWidth="9.109375" defaultRowHeight="13.2" x14ac:dyDescent="0.2"/>
  <cols>
    <col min="1" max="1" width="73.109375" style="1" customWidth="1"/>
    <col min="2" max="2" width="25.109375" style="1" customWidth="1"/>
    <col min="3" max="3" width="26.88671875" style="1" customWidth="1"/>
    <col min="4" max="5" width="20.6640625" style="1" customWidth="1"/>
    <col min="6" max="7" width="21.5546875" style="1" customWidth="1"/>
    <col min="8" max="8" width="22.5546875" style="1" customWidth="1"/>
    <col min="9" max="9" width="20.88671875" style="1" customWidth="1"/>
    <col min="10" max="10" width="17.6640625" style="1" customWidth="1"/>
    <col min="11" max="11" width="19.88671875" style="1" customWidth="1"/>
    <col min="12" max="12" width="17" style="1" customWidth="1"/>
    <col min="13" max="13" width="18.44140625" style="1" customWidth="1"/>
    <col min="14" max="14" width="20.88671875" style="1" customWidth="1"/>
    <col min="15" max="15" width="22.44140625" style="1" customWidth="1"/>
    <col min="16" max="22" width="18.77734375" style="1" customWidth="1"/>
    <col min="23" max="25" width="19.5546875" style="1" customWidth="1"/>
    <col min="26" max="26" width="12.77734375" style="1" bestFit="1" customWidth="1"/>
    <col min="27" max="27" width="18.33203125" style="1" bestFit="1" customWidth="1"/>
    <col min="28" max="28" width="18.33203125" style="1" customWidth="1"/>
    <col min="29" max="16384" width="9.109375" style="1"/>
  </cols>
  <sheetData>
    <row r="1" spans="1:29" ht="10.199999999999999" hidden="1" customHeight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t="33.6" customHeight="1" x14ac:dyDescent="0.2">
      <c r="A7" s="1" t="e" vm="1">
        <v>#VALUE!</v>
      </c>
      <c r="B7" s="2"/>
      <c r="C7" s="2"/>
    </row>
    <row r="8" spans="1:29" s="3" customFormat="1" ht="12.6" customHeight="1" x14ac:dyDescent="0.25">
      <c r="A8" s="82" t="s">
        <v>85</v>
      </c>
      <c r="B8" s="82"/>
      <c r="C8" s="82"/>
    </row>
    <row r="9" spans="1:29" s="3" customFormat="1" ht="13.2" customHeight="1" x14ac:dyDescent="0.25">
      <c r="A9" s="82" t="s">
        <v>86</v>
      </c>
      <c r="B9" s="82"/>
      <c r="C9" s="82"/>
      <c r="AA9" s="48"/>
    </row>
    <row r="10" spans="1:29" s="3" customFormat="1" ht="18" customHeight="1" x14ac:dyDescent="0.25">
      <c r="A10" s="82" t="s">
        <v>88</v>
      </c>
      <c r="B10" s="82"/>
      <c r="C10" s="82"/>
      <c r="J10" s="73"/>
      <c r="K10" s="48"/>
      <c r="AA10" s="48"/>
    </row>
    <row r="11" spans="1:29" s="3" customFormat="1" ht="19.95" customHeight="1" thickBot="1" x14ac:dyDescent="0.3">
      <c r="A11" s="83" t="s">
        <v>36</v>
      </c>
      <c r="B11" s="83"/>
      <c r="C11" s="83"/>
      <c r="J11" s="77"/>
      <c r="K11" s="77"/>
      <c r="L11" s="77"/>
      <c r="M11" s="77"/>
      <c r="N11" s="77"/>
      <c r="O11" s="77"/>
      <c r="P11" s="77"/>
      <c r="Q11" s="77"/>
      <c r="R11" s="77"/>
      <c r="S11" s="77"/>
    </row>
    <row r="12" spans="1:29" ht="14.4" customHeight="1" thickBot="1" x14ac:dyDescent="0.25">
      <c r="A12" s="4" t="s">
        <v>0</v>
      </c>
      <c r="B12" s="45" t="s">
        <v>37</v>
      </c>
      <c r="C12" s="46" t="s">
        <v>38</v>
      </c>
      <c r="D12" s="67" t="s">
        <v>95</v>
      </c>
      <c r="E12" s="68" t="s">
        <v>97</v>
      </c>
      <c r="F12" s="70" t="s">
        <v>98</v>
      </c>
      <c r="G12" s="70" t="s">
        <v>99</v>
      </c>
      <c r="H12" s="69" t="s">
        <v>96</v>
      </c>
      <c r="I12" s="57"/>
      <c r="J12" s="53"/>
      <c r="K12" s="78"/>
      <c r="L12" s="57"/>
      <c r="M12" s="57"/>
      <c r="N12" s="57"/>
      <c r="O12" s="76"/>
      <c r="P12" s="74"/>
      <c r="Q12" s="53"/>
      <c r="R12" s="53"/>
      <c r="S12" s="62"/>
      <c r="T12" s="23"/>
      <c r="U12" s="23"/>
      <c r="V12" s="23"/>
    </row>
    <row r="13" spans="1:29" ht="13.8" thickBot="1" x14ac:dyDescent="0.25">
      <c r="A13" s="5" t="s">
        <v>1</v>
      </c>
      <c r="B13" s="6">
        <f>+B14+B20+B30+B40+B56+B66</f>
        <v>5008002151</v>
      </c>
      <c r="C13" s="24">
        <f>+C14+C20+C30+C40+C56+C66</f>
        <v>5015487707.2800007</v>
      </c>
      <c r="D13" s="43">
        <f>D14+D20+D30+D66</f>
        <v>127297044.56999999</v>
      </c>
      <c r="E13" s="43">
        <f>E14+E20+E30+E66</f>
        <v>57822372.550000004</v>
      </c>
      <c r="F13" s="43">
        <f>F14+F20+F30+F56+F66</f>
        <v>1244256897.8700001</v>
      </c>
      <c r="G13" s="43">
        <f>G14+G30+G66+G20</f>
        <v>32713133.039999999</v>
      </c>
      <c r="H13" s="43">
        <f>D13+E13+F13+G13</f>
        <v>1462089448.0300002</v>
      </c>
      <c r="I13" s="56"/>
      <c r="J13" s="53"/>
      <c r="K13" s="58"/>
      <c r="L13" s="58"/>
      <c r="M13" s="58"/>
      <c r="N13" s="58"/>
      <c r="O13" s="53"/>
      <c r="P13" s="61"/>
      <c r="Q13" s="58"/>
      <c r="R13" s="58"/>
      <c r="S13" s="58"/>
      <c r="T13" s="58"/>
      <c r="U13" s="58"/>
      <c r="V13" s="58"/>
    </row>
    <row r="14" spans="1:29" x14ac:dyDescent="0.2">
      <c r="A14" s="8" t="s">
        <v>2</v>
      </c>
      <c r="B14" s="9">
        <f>+B15+B16+B17+B18+B19</f>
        <v>177524001</v>
      </c>
      <c r="C14" s="25">
        <f>+C15+C16+C17+C18+C19</f>
        <v>200557061.71000001</v>
      </c>
      <c r="D14" s="42">
        <f>D15+D16+D19</f>
        <v>12102876.75</v>
      </c>
      <c r="E14" s="42">
        <f>E15+E16+E19</f>
        <v>11473123.710000001</v>
      </c>
      <c r="F14" s="42">
        <f>F19+F16+F15</f>
        <v>12637899.359999999</v>
      </c>
      <c r="G14" s="42">
        <f>G19+G16+G15</f>
        <v>11034899</v>
      </c>
      <c r="H14" s="42">
        <f>D14+E14+F14+G14</f>
        <v>47248798.82</v>
      </c>
      <c r="I14" s="56"/>
      <c r="J14" s="53"/>
      <c r="K14" s="59"/>
      <c r="L14" s="59"/>
      <c r="M14" s="79"/>
      <c r="N14" s="59"/>
      <c r="O14" s="59"/>
      <c r="P14" s="59"/>
      <c r="Q14" s="59"/>
      <c r="R14" s="59"/>
      <c r="S14" s="59"/>
      <c r="T14" s="59"/>
      <c r="U14" s="59"/>
      <c r="V14" s="59"/>
      <c r="W14" s="50"/>
      <c r="X14" s="50"/>
    </row>
    <row r="15" spans="1:29" x14ac:dyDescent="0.2">
      <c r="A15" s="10" t="s">
        <v>3</v>
      </c>
      <c r="B15" s="11">
        <f>54885856+75000000+8800000</f>
        <v>138685856</v>
      </c>
      <c r="C15" s="26">
        <f>50724000+18577971+4461856+437574.91+2687948.02+74740000+8921667+75000+989743</f>
        <v>161615759.93000001</v>
      </c>
      <c r="D15" s="15">
        <f>6027195+260000+4031856</f>
        <v>10319051</v>
      </c>
      <c r="E15" s="15">
        <f>5574195+ 260000+3939103</f>
        <v>9773298</v>
      </c>
      <c r="F15" s="15">
        <f>5471195+260000+4044703+50000+1116658.98</f>
        <v>10942556.98</v>
      </c>
      <c r="G15" s="15">
        <f>5166045+260000+3949703</f>
        <v>9375748</v>
      </c>
      <c r="H15" s="15">
        <f>D15+E15+F15+G15</f>
        <v>40410653.980000004</v>
      </c>
      <c r="I15" s="49"/>
      <c r="J15" s="53"/>
      <c r="K15" s="62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7"/>
      <c r="X15" s="7"/>
    </row>
    <row r="16" spans="1:29" ht="14.4" customHeight="1" x14ac:dyDescent="0.2">
      <c r="A16" s="10" t="s">
        <v>4</v>
      </c>
      <c r="B16" s="11">
        <f>11524000+5800000</f>
        <v>17324000</v>
      </c>
      <c r="C16" s="26">
        <f>3120000+758000+2558137.5+3444000+6060000</f>
        <v>15940137.5</v>
      </c>
      <c r="D16" s="54">
        <v>260000</v>
      </c>
      <c r="E16" s="54">
        <v>260000</v>
      </c>
      <c r="F16" s="54">
        <v>260000</v>
      </c>
      <c r="G16" s="54">
        <v>260000</v>
      </c>
      <c r="H16" s="15">
        <f>D16+E16+F16+G16</f>
        <v>1040000</v>
      </c>
      <c r="I16" s="49"/>
      <c r="J16" s="53"/>
      <c r="K16" s="53"/>
      <c r="L16" s="58"/>
      <c r="M16" s="58"/>
      <c r="N16" s="58"/>
      <c r="O16" s="58"/>
      <c r="P16" s="58"/>
      <c r="Q16" s="58"/>
      <c r="R16" s="58"/>
      <c r="S16" s="58"/>
      <c r="T16" s="52"/>
      <c r="U16" s="52"/>
      <c r="V16" s="52"/>
      <c r="AB16" s="49"/>
      <c r="AC16" s="49"/>
    </row>
    <row r="17" spans="1:29" x14ac:dyDescent="0.2">
      <c r="A17" s="10" t="s">
        <v>39</v>
      </c>
      <c r="B17" s="11">
        <v>0</v>
      </c>
      <c r="C17" s="27">
        <v>0</v>
      </c>
      <c r="D17" s="15"/>
      <c r="E17" s="15"/>
      <c r="F17" s="15"/>
      <c r="G17" s="15"/>
      <c r="H17" s="15"/>
      <c r="I17" s="49"/>
      <c r="J17" s="53"/>
      <c r="K17" s="57"/>
      <c r="L17" s="78"/>
      <c r="M17" s="78"/>
      <c r="N17" s="78"/>
      <c r="O17" s="74"/>
      <c r="P17" s="74"/>
      <c r="Q17" s="74"/>
      <c r="R17" s="74"/>
      <c r="S17" s="74"/>
      <c r="T17" s="51"/>
      <c r="U17" s="51"/>
      <c r="V17" s="51"/>
      <c r="AB17" s="49"/>
      <c r="AC17" s="49"/>
    </row>
    <row r="18" spans="1:29" x14ac:dyDescent="0.2">
      <c r="A18" s="10" t="s">
        <v>5</v>
      </c>
      <c r="B18" s="11">
        <v>0</v>
      </c>
      <c r="C18" s="27">
        <v>0</v>
      </c>
      <c r="D18" s="15"/>
      <c r="E18" s="15"/>
      <c r="F18" s="15"/>
      <c r="G18" s="15"/>
      <c r="H18" s="15"/>
      <c r="I18" s="49"/>
      <c r="J18" s="53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AB18" s="49"/>
      <c r="AC18" s="49"/>
    </row>
    <row r="19" spans="1:29" ht="13.8" thickBot="1" x14ac:dyDescent="0.25">
      <c r="A19" s="10" t="s">
        <v>6</v>
      </c>
      <c r="B19" s="11">
        <f>7072980+6788041+6910138+742986</f>
        <v>21514145</v>
      </c>
      <c r="C19" s="26">
        <f>4017401+4371308.28+459700+6499631+6910138+742986</f>
        <v>23001164.280000001</v>
      </c>
      <c r="D19" s="39">
        <f>417792.07+427930.85+45938.2+18434+18460+1981.1+277386.04+286261.78+29641.71</f>
        <v>1523825.7499999998</v>
      </c>
      <c r="E19" s="39">
        <f>385674.37+395767.85+42329.1+18434+18460+1981+268868.96+279676.32+28634.11</f>
        <v>1439825.7100000002</v>
      </c>
      <c r="F19" s="39">
        <f>378371.67+388454.85+41613.58+18434+18460+1981.1+272102+287173.92+28751.26</f>
        <v>1435342.38</v>
      </c>
      <c r="G19" s="39">
        <f>362161.81+366789.2+43794.15+18434+18460+1981.1+275923.17+280428.92+31178.65</f>
        <v>1399150.9999999998</v>
      </c>
      <c r="H19" s="39">
        <f>D19+E19+F19+G19</f>
        <v>5798144.8399999999</v>
      </c>
      <c r="I19" s="49"/>
      <c r="J19" s="53"/>
      <c r="K19" s="53"/>
      <c r="L19" s="58"/>
      <c r="M19" s="58"/>
      <c r="N19" s="58"/>
      <c r="O19" s="53"/>
      <c r="P19" s="53"/>
      <c r="Q19" s="53"/>
      <c r="R19" s="53"/>
      <c r="S19" s="53"/>
      <c r="T19" s="53"/>
      <c r="U19" s="53"/>
      <c r="V19" s="53"/>
      <c r="W19" s="7"/>
      <c r="X19" s="7"/>
      <c r="AB19" s="49"/>
      <c r="AC19" s="49"/>
    </row>
    <row r="20" spans="1:29" ht="13.8" thickBot="1" x14ac:dyDescent="0.25">
      <c r="A20" s="8" t="s">
        <v>7</v>
      </c>
      <c r="B20" s="13">
        <f>SUM(B21:B29)</f>
        <v>209924387</v>
      </c>
      <c r="C20" s="28">
        <f>SUM(C21:C29)</f>
        <v>297567444.83000004</v>
      </c>
      <c r="D20" s="43">
        <f>D21+D28</f>
        <v>4285801.24</v>
      </c>
      <c r="E20" s="43">
        <f>E21+E27+E28+E29</f>
        <v>34171377.620000005</v>
      </c>
      <c r="F20" s="43">
        <f>F28+F21</f>
        <v>19081926.870000001</v>
      </c>
      <c r="G20" s="43">
        <f>G29+G28+G21</f>
        <v>12770066.26</v>
      </c>
      <c r="H20" s="43">
        <f>D20+E20+F20+G20</f>
        <v>70309171.99000001</v>
      </c>
      <c r="I20" s="56"/>
      <c r="J20" s="53"/>
      <c r="K20" s="53"/>
      <c r="L20" s="58"/>
      <c r="M20" s="58"/>
      <c r="N20" s="53"/>
      <c r="O20" s="53"/>
      <c r="P20" s="53"/>
      <c r="Q20" s="53"/>
      <c r="R20" s="53"/>
      <c r="S20" s="53"/>
      <c r="T20" s="53"/>
      <c r="U20" s="53"/>
      <c r="V20" s="53"/>
      <c r="AB20" s="49"/>
      <c r="AC20" s="49"/>
    </row>
    <row r="21" spans="1:29" x14ac:dyDescent="0.2">
      <c r="A21" s="10" t="s">
        <v>8</v>
      </c>
      <c r="B21" s="14">
        <v>6344000</v>
      </c>
      <c r="C21" s="29">
        <f>4741124.94+490000+816875+79000</f>
        <v>6126999.9400000004</v>
      </c>
      <c r="D21" s="40">
        <f>346734.92+38822.32+24046.6</f>
        <v>409603.83999999997</v>
      </c>
      <c r="E21" s="15">
        <f>351890.31+38865.6+47033.18</f>
        <v>437789.08999999997</v>
      </c>
      <c r="F21" s="40">
        <f>350683.15+38486.62+47008.3</f>
        <v>436178.07</v>
      </c>
      <c r="G21" s="40">
        <f>379940.56+37635+102697.48</f>
        <v>520273.04</v>
      </c>
      <c r="H21" s="40">
        <f>E21+F21+G21</f>
        <v>1394240.2</v>
      </c>
      <c r="I21" s="49"/>
      <c r="J21" s="53"/>
      <c r="K21" s="53"/>
      <c r="L21" s="58"/>
      <c r="M21" s="58"/>
      <c r="N21" s="53"/>
      <c r="O21" s="53"/>
      <c r="P21" s="53"/>
      <c r="Q21" s="53"/>
      <c r="R21" s="53"/>
      <c r="S21" s="53"/>
      <c r="X21" s="23"/>
      <c r="AB21" s="49"/>
      <c r="AC21" s="49"/>
    </row>
    <row r="22" spans="1:29" x14ac:dyDescent="0.2">
      <c r="A22" s="10" t="s">
        <v>9</v>
      </c>
      <c r="B22" s="11">
        <v>2739892</v>
      </c>
      <c r="C22" s="27">
        <f>1095357+23880+168000+5800000</f>
        <v>7087237</v>
      </c>
      <c r="D22" s="15"/>
      <c r="F22" s="72"/>
      <c r="G22" s="72"/>
      <c r="H22" s="15"/>
      <c r="I22" s="49"/>
      <c r="J22" s="53"/>
      <c r="K22" s="57"/>
      <c r="L22" s="57"/>
      <c r="M22" s="57"/>
      <c r="N22" s="57"/>
      <c r="O22" s="57"/>
      <c r="P22" s="57"/>
      <c r="Q22" s="57"/>
      <c r="R22" s="57"/>
      <c r="S22" s="80"/>
      <c r="Y22" s="51"/>
      <c r="AB22" s="49"/>
      <c r="AC22" s="49"/>
    </row>
    <row r="23" spans="1:29" ht="18" customHeight="1" x14ac:dyDescent="0.2">
      <c r="A23" s="10" t="s">
        <v>10</v>
      </c>
      <c r="B23" s="11">
        <v>360000</v>
      </c>
      <c r="C23" s="27">
        <f>282500+37500</f>
        <v>320000</v>
      </c>
      <c r="D23" s="15"/>
      <c r="E23" s="15"/>
      <c r="F23" s="15"/>
      <c r="G23" s="15"/>
      <c r="H23" s="15"/>
      <c r="I23" s="49"/>
      <c r="J23" s="53"/>
      <c r="K23" s="58"/>
      <c r="L23" s="58"/>
      <c r="M23" s="58"/>
      <c r="N23" s="58"/>
      <c r="O23" s="58"/>
      <c r="P23" s="58"/>
      <c r="Q23" s="58"/>
      <c r="R23" s="58"/>
      <c r="S23" s="58"/>
      <c r="AB23" s="49"/>
      <c r="AC23" s="49"/>
    </row>
    <row r="24" spans="1:29" x14ac:dyDescent="0.2">
      <c r="A24" s="10" t="s">
        <v>11</v>
      </c>
      <c r="B24" s="11">
        <f>500000+50000000</f>
        <v>50500000</v>
      </c>
      <c r="C24" s="27">
        <v>15000000</v>
      </c>
      <c r="D24" s="15"/>
      <c r="E24" s="15"/>
      <c r="F24" s="15"/>
      <c r="G24" s="15"/>
      <c r="H24" s="15"/>
      <c r="I24" s="49"/>
      <c r="J24" s="53"/>
      <c r="K24" s="53"/>
      <c r="L24" s="53"/>
      <c r="M24" s="58"/>
      <c r="N24" s="58"/>
      <c r="O24" s="58"/>
      <c r="P24" s="58"/>
      <c r="Q24" s="58"/>
      <c r="R24" s="58"/>
      <c r="S24" s="53"/>
      <c r="AB24" s="49"/>
      <c r="AC24" s="49"/>
    </row>
    <row r="25" spans="1:29" x14ac:dyDescent="0.2">
      <c r="A25" s="10" t="s">
        <v>12</v>
      </c>
      <c r="B25" s="11">
        <v>8200000</v>
      </c>
      <c r="C25" s="30">
        <f>7723000+5200000+550000</f>
        <v>13473000</v>
      </c>
      <c r="D25" s="15"/>
      <c r="E25" s="15"/>
      <c r="F25" s="15"/>
      <c r="G25" s="15"/>
      <c r="H25" s="15"/>
      <c r="I25" s="49"/>
      <c r="J25" s="53"/>
      <c r="K25" s="58"/>
      <c r="L25" s="53"/>
      <c r="M25" s="58"/>
      <c r="N25" s="58"/>
      <c r="O25" s="58"/>
      <c r="P25" s="58"/>
      <c r="Q25" s="58"/>
      <c r="R25" s="58"/>
      <c r="S25" s="53"/>
      <c r="AB25" s="49"/>
      <c r="AC25" s="49"/>
    </row>
    <row r="26" spans="1:29" ht="13.8" thickBot="1" x14ac:dyDescent="0.25">
      <c r="A26" s="10" t="s">
        <v>13</v>
      </c>
      <c r="B26" s="11">
        <v>1500000</v>
      </c>
      <c r="C26" s="27">
        <v>908000</v>
      </c>
      <c r="D26" s="15"/>
      <c r="E26" s="15"/>
      <c r="F26" s="15"/>
      <c r="G26" s="15"/>
      <c r="H26" s="15"/>
      <c r="I26" s="49"/>
      <c r="J26" s="53"/>
      <c r="K26" s="58"/>
      <c r="L26" s="53"/>
      <c r="M26" s="53"/>
      <c r="N26" s="53"/>
      <c r="O26" s="53"/>
      <c r="P26" s="53"/>
      <c r="Q26" s="53"/>
      <c r="R26" s="53"/>
      <c r="S26" s="53"/>
      <c r="Y26" s="55" t="e">
        <f>#REF!+#REF!+M23+M24+M25+#REF!+N24+N25+O23+O24+P23+P24+Q23+Q24+K28+L28+L29+N28+O28+#REF!+P28+Q28+Q29+Q30+P31+P32</f>
        <v>#REF!</v>
      </c>
      <c r="AB26" s="49"/>
      <c r="AC26" s="49"/>
    </row>
    <row r="27" spans="1:29" ht="27" thickTop="1" x14ac:dyDescent="0.2">
      <c r="A27" s="10" t="s">
        <v>14</v>
      </c>
      <c r="B27" s="11">
        <v>10500000</v>
      </c>
      <c r="C27" s="31">
        <f>255000+472000+1335000+148700+350000+605700+400000+90000+1420000+280000+492000+558020+7739664.66</f>
        <v>14146084.66</v>
      </c>
      <c r="D27" s="15"/>
      <c r="E27" s="15">
        <f>160027.68+41303.51</f>
        <v>201331.19</v>
      </c>
      <c r="F27" s="15"/>
      <c r="G27" s="15"/>
      <c r="H27" s="15">
        <f>E27</f>
        <v>201331.19</v>
      </c>
      <c r="I27" s="62"/>
      <c r="J27" s="53"/>
      <c r="K27" s="57"/>
      <c r="L27" s="57"/>
      <c r="M27" s="57"/>
      <c r="N27" s="57"/>
      <c r="O27" s="57"/>
      <c r="P27" s="57"/>
      <c r="Q27" s="57"/>
      <c r="R27" s="74"/>
      <c r="S27" s="53"/>
    </row>
    <row r="28" spans="1:29" ht="12" customHeight="1" x14ac:dyDescent="0.2">
      <c r="A28" s="10" t="s">
        <v>15</v>
      </c>
      <c r="B28" s="11">
        <f>24321000+100000000</f>
        <v>124321000</v>
      </c>
      <c r="C28" s="26">
        <f>302000+50000+5772000+2101400+1851800+30000+6130988.69+21000+15439.54+588000+10000000+65000000+50000000+11000000+2500000+80380000</f>
        <v>235742628.23000002</v>
      </c>
      <c r="D28" s="15">
        <f>3130052+746145.4</f>
        <v>3876197.4</v>
      </c>
      <c r="E28" s="15">
        <f>9515102+20507918+1563100+51330+1218379.5</f>
        <v>32855829.5</v>
      </c>
      <c r="F28" s="15">
        <f>12531793+5695173.8+418782</f>
        <v>18645748.800000001</v>
      </c>
      <c r="G28" s="15">
        <f>7881866+4407654</f>
        <v>12289520</v>
      </c>
      <c r="H28" s="15">
        <f>D28+E28+F28+G28</f>
        <v>67667295.700000003</v>
      </c>
      <c r="I28" s="49"/>
      <c r="J28" s="53"/>
      <c r="K28" s="58"/>
      <c r="L28" s="58"/>
      <c r="M28" s="58"/>
      <c r="N28" s="58"/>
      <c r="O28" s="58"/>
      <c r="P28" s="58"/>
      <c r="Q28" s="71"/>
      <c r="R28" s="71"/>
      <c r="S28" s="53"/>
      <c r="Y28" s="23">
        <f>SUM(P28:P32)</f>
        <v>0</v>
      </c>
      <c r="AC28" s="23"/>
    </row>
    <row r="29" spans="1:29" ht="13.8" thickBot="1" x14ac:dyDescent="0.25">
      <c r="A29" s="10" t="s">
        <v>40</v>
      </c>
      <c r="B29" s="11">
        <v>5459495</v>
      </c>
      <c r="C29" s="30">
        <f>244000+4519495</f>
        <v>4763495</v>
      </c>
      <c r="D29" s="39"/>
      <c r="E29" s="39">
        <f>193500+482927.84</f>
        <v>676427.84000000008</v>
      </c>
      <c r="F29" s="39"/>
      <c r="G29" s="39">
        <v>-39726.78</v>
      </c>
      <c r="H29" s="39">
        <f>E29+G29</f>
        <v>636701.06000000006</v>
      </c>
      <c r="I29" s="49"/>
      <c r="J29" s="53"/>
      <c r="K29" s="58"/>
      <c r="L29" s="58"/>
      <c r="M29" s="58"/>
      <c r="N29" s="58"/>
      <c r="O29" s="58"/>
      <c r="P29" s="58"/>
      <c r="Q29" s="71"/>
      <c r="R29" s="71"/>
      <c r="S29" s="60"/>
      <c r="T29" s="60"/>
      <c r="U29" s="60"/>
      <c r="V29" s="60"/>
      <c r="W29" s="60"/>
    </row>
    <row r="30" spans="1:29" ht="13.8" thickBot="1" x14ac:dyDescent="0.25">
      <c r="A30" s="8" t="s">
        <v>16</v>
      </c>
      <c r="B30" s="13">
        <f>SUM(B31:B39)</f>
        <v>16604000</v>
      </c>
      <c r="C30" s="28">
        <f>SUM(C31:C39)</f>
        <v>21372041.329999998</v>
      </c>
      <c r="D30" s="43">
        <f>D37</f>
        <v>517000</v>
      </c>
      <c r="E30" s="43">
        <f>E39+E37+E36+E35+E32+E31</f>
        <v>1255648.8599999999</v>
      </c>
      <c r="F30" s="43">
        <f>F39+F37+F35+F34+F32+F31</f>
        <v>1046005.26</v>
      </c>
      <c r="G30" s="43">
        <f>G31+G37</f>
        <v>535938</v>
      </c>
      <c r="H30" s="43">
        <f>D30+F30+E30+G30</f>
        <v>3354592.12</v>
      </c>
      <c r="I30" s="56"/>
      <c r="J30" s="62"/>
      <c r="K30" s="58"/>
      <c r="L30" s="58"/>
      <c r="M30" s="58"/>
      <c r="N30" s="58"/>
      <c r="O30" s="58"/>
      <c r="P30" s="58"/>
      <c r="Q30" s="71"/>
      <c r="R30" s="71"/>
      <c r="S30" s="53"/>
      <c r="U30" s="58"/>
      <c r="V30" s="58"/>
      <c r="W30" s="58"/>
      <c r="Z30" s="7"/>
      <c r="AC30" s="7"/>
    </row>
    <row r="31" spans="1:29" x14ac:dyDescent="0.2">
      <c r="A31" s="10" t="s">
        <v>17</v>
      </c>
      <c r="B31" s="11">
        <v>600000</v>
      </c>
      <c r="C31" s="27">
        <f>1009500+600+15000</f>
        <v>1025100</v>
      </c>
      <c r="D31" s="40"/>
      <c r="E31" s="40">
        <v>186439.64</v>
      </c>
      <c r="F31" s="40">
        <f>10495+565.23</f>
        <v>11060.23</v>
      </c>
      <c r="G31" s="40">
        <f>14868+4070</f>
        <v>18938</v>
      </c>
      <c r="H31" s="40">
        <f>E31+F31+G31</f>
        <v>216437.87000000002</v>
      </c>
      <c r="I31" s="49"/>
      <c r="J31" s="53"/>
      <c r="K31" s="53"/>
      <c r="L31" s="53"/>
      <c r="M31" s="53"/>
      <c r="N31" s="53"/>
      <c r="O31" s="53"/>
      <c r="P31" s="71"/>
      <c r="Q31" s="58"/>
      <c r="R31" s="58"/>
      <c r="S31" s="61"/>
      <c r="T31" s="61"/>
      <c r="U31" s="61"/>
      <c r="V31" s="61"/>
      <c r="Y31" s="23"/>
    </row>
    <row r="32" spans="1:29" x14ac:dyDescent="0.2">
      <c r="A32" s="10" t="s">
        <v>18</v>
      </c>
      <c r="B32" s="11">
        <v>1400000</v>
      </c>
      <c r="C32" s="27">
        <f>24532+300000+23000</f>
        <v>347532</v>
      </c>
      <c r="D32" s="15"/>
      <c r="E32" s="7">
        <v>47318</v>
      </c>
      <c r="F32" s="7">
        <v>54000</v>
      </c>
      <c r="G32" s="7"/>
      <c r="H32" s="15">
        <f>E32+F32</f>
        <v>101318</v>
      </c>
      <c r="I32" s="49"/>
      <c r="J32" s="53"/>
      <c r="K32" s="53"/>
      <c r="L32" s="53"/>
      <c r="M32" s="53"/>
      <c r="N32" s="53"/>
      <c r="O32" s="53"/>
      <c r="P32" s="75"/>
      <c r="Q32" s="53"/>
      <c r="R32" s="53"/>
      <c r="S32" s="53"/>
      <c r="T32" s="53"/>
      <c r="U32" s="53"/>
      <c r="V32" s="53"/>
      <c r="Y32" s="23"/>
    </row>
    <row r="33" spans="1:25" x14ac:dyDescent="0.2">
      <c r="A33" s="10" t="s">
        <v>19</v>
      </c>
      <c r="B33" s="11">
        <v>1100000</v>
      </c>
      <c r="C33" s="27">
        <f>474919.47+293000</f>
        <v>767919.47</v>
      </c>
      <c r="D33" s="15"/>
      <c r="E33" s="15"/>
      <c r="F33" s="15"/>
      <c r="G33" s="15"/>
      <c r="H33" s="15"/>
      <c r="I33" s="49"/>
      <c r="J33" s="53"/>
      <c r="K33" s="58"/>
      <c r="L33" s="58"/>
      <c r="M33" s="58"/>
      <c r="N33" s="58"/>
      <c r="O33" s="53"/>
      <c r="P33" s="53"/>
      <c r="Q33" s="53"/>
      <c r="R33" s="53"/>
      <c r="S33" s="53"/>
      <c r="T33" s="53"/>
      <c r="U33" s="53"/>
      <c r="V33" s="53"/>
      <c r="Y33" s="23"/>
    </row>
    <row r="34" spans="1:25" x14ac:dyDescent="0.2">
      <c r="A34" s="10" t="s">
        <v>20</v>
      </c>
      <c r="B34" s="11">
        <v>200000</v>
      </c>
      <c r="C34" s="27">
        <v>134464.53</v>
      </c>
      <c r="D34" s="15"/>
      <c r="E34" s="15"/>
      <c r="F34" s="15">
        <v>51299.35</v>
      </c>
      <c r="G34" s="15"/>
      <c r="H34" s="15">
        <f>F34</f>
        <v>51299.35</v>
      </c>
      <c r="I34" s="49"/>
      <c r="J34" s="53"/>
      <c r="K34" s="58"/>
      <c r="L34" s="58"/>
      <c r="M34" s="58"/>
      <c r="N34" s="53"/>
      <c r="O34" s="53"/>
      <c r="P34" s="62"/>
      <c r="Q34" s="53"/>
      <c r="R34" s="53"/>
      <c r="S34" s="53"/>
      <c r="T34" s="53"/>
      <c r="U34" s="53"/>
      <c r="V34" s="53"/>
      <c r="Y34" s="23"/>
    </row>
    <row r="35" spans="1:25" x14ac:dyDescent="0.2">
      <c r="A35" s="10" t="s">
        <v>21</v>
      </c>
      <c r="B35" s="11">
        <v>2600000</v>
      </c>
      <c r="C35" s="27">
        <f>192556+59000</f>
        <v>251556</v>
      </c>
      <c r="D35" s="15"/>
      <c r="E35" s="15">
        <v>11514.44</v>
      </c>
      <c r="F35" s="15">
        <v>81081.34</v>
      </c>
      <c r="G35" s="15"/>
      <c r="H35" s="15">
        <f>E35+F35</f>
        <v>92595.78</v>
      </c>
      <c r="I35" s="49"/>
      <c r="J35" s="53"/>
      <c r="K35" s="58"/>
      <c r="L35" s="58"/>
      <c r="M35" s="58"/>
      <c r="N35" s="53"/>
      <c r="O35" s="53"/>
      <c r="P35" s="62"/>
      <c r="Q35" s="53"/>
      <c r="R35" s="53"/>
      <c r="S35" s="53"/>
      <c r="T35" s="53"/>
      <c r="U35" s="53"/>
      <c r="V35" s="53"/>
    </row>
    <row r="36" spans="1:25" x14ac:dyDescent="0.2">
      <c r="A36" s="10" t="s">
        <v>22</v>
      </c>
      <c r="B36" s="11">
        <v>600000</v>
      </c>
      <c r="C36" s="27">
        <f>295115+1552294.18+2000+4620000</f>
        <v>6469409.1799999997</v>
      </c>
      <c r="D36" s="15"/>
      <c r="E36" s="15">
        <v>48696.34</v>
      </c>
      <c r="F36" s="15"/>
      <c r="G36" s="15"/>
      <c r="H36" s="15">
        <f>E36</f>
        <v>48696.34</v>
      </c>
      <c r="I36" s="49"/>
      <c r="J36" s="53"/>
      <c r="K36" s="58"/>
      <c r="L36" s="58"/>
      <c r="M36" s="58"/>
      <c r="N36" s="53"/>
      <c r="O36" s="53"/>
      <c r="P36" s="53"/>
      <c r="Q36" s="53"/>
      <c r="R36" s="53"/>
      <c r="S36" s="53"/>
      <c r="T36" s="53"/>
      <c r="U36" s="53"/>
      <c r="V36" s="53"/>
    </row>
    <row r="37" spans="1:25" ht="26.4" x14ac:dyDescent="0.2">
      <c r="A37" s="10" t="s">
        <v>23</v>
      </c>
      <c r="B37" s="11">
        <v>7804000</v>
      </c>
      <c r="C37" s="27">
        <f>6004000+200000+4189+140000+140000</f>
        <v>6488189</v>
      </c>
      <c r="D37" s="15">
        <v>517000</v>
      </c>
      <c r="E37" s="15">
        <f>517000+12541.78</f>
        <v>529541.78</v>
      </c>
      <c r="F37" s="15">
        <f>517000+21755.52</f>
        <v>538755.52</v>
      </c>
      <c r="G37" s="15">
        <v>517000</v>
      </c>
      <c r="H37" s="15">
        <f>F37+D37+E37+G37</f>
        <v>2102297.2999999998</v>
      </c>
      <c r="I37" s="49"/>
      <c r="J37" s="53"/>
      <c r="K37" s="58"/>
      <c r="L37" s="62"/>
      <c r="M37" s="58"/>
      <c r="N37" s="53"/>
      <c r="O37" s="53"/>
      <c r="P37" s="53"/>
      <c r="Q37" s="53"/>
      <c r="R37" s="53"/>
      <c r="S37" s="53"/>
      <c r="T37" s="53"/>
      <c r="U37" s="53"/>
      <c r="V37" s="53"/>
    </row>
    <row r="38" spans="1:25" ht="26.4" x14ac:dyDescent="0.2">
      <c r="A38" s="10" t="s">
        <v>41</v>
      </c>
      <c r="B38" s="11">
        <v>0</v>
      </c>
      <c r="C38" s="27"/>
      <c r="D38" s="15"/>
      <c r="E38" s="15"/>
      <c r="F38" s="15"/>
      <c r="G38" s="15"/>
      <c r="H38" s="15"/>
      <c r="I38" s="49"/>
      <c r="J38" s="53"/>
      <c r="K38" s="58"/>
      <c r="L38" s="58"/>
      <c r="M38" s="58"/>
      <c r="N38" s="53"/>
      <c r="O38" s="53"/>
      <c r="P38" s="53"/>
      <c r="Q38" s="53"/>
      <c r="R38" s="53"/>
      <c r="S38" s="53"/>
      <c r="T38" s="53"/>
      <c r="U38" s="53"/>
      <c r="V38" s="53"/>
    </row>
    <row r="39" spans="1:25" ht="13.8" thickBot="1" x14ac:dyDescent="0.25">
      <c r="A39" s="10" t="s">
        <v>24</v>
      </c>
      <c r="B39" s="11">
        <v>2300000</v>
      </c>
      <c r="C39" s="27">
        <f>425000+517000+3062482+205500+120000+321000+43616+188000+243873.42+156384+605015.73</f>
        <v>5887871.1500000004</v>
      </c>
      <c r="D39" s="39"/>
      <c r="E39" s="39">
        <v>432138.66</v>
      </c>
      <c r="F39" s="39">
        <f>3469.2+247900+42417.84+16021.78</f>
        <v>309808.82000000007</v>
      </c>
      <c r="G39" s="39"/>
      <c r="H39" s="39">
        <f>F39+E39</f>
        <v>741947.48</v>
      </c>
      <c r="I39" s="49"/>
      <c r="J39" s="53"/>
      <c r="K39" s="81"/>
      <c r="L39" s="58"/>
      <c r="M39" s="58"/>
      <c r="N39" s="53"/>
      <c r="O39" s="53"/>
      <c r="P39" s="53"/>
      <c r="Q39" s="53"/>
      <c r="R39" s="53"/>
      <c r="S39" s="53"/>
      <c r="T39" s="53"/>
      <c r="U39" s="53"/>
      <c r="V39" s="53"/>
    </row>
    <row r="40" spans="1:25" ht="13.8" thickBot="1" x14ac:dyDescent="0.25">
      <c r="A40" s="8" t="s">
        <v>25</v>
      </c>
      <c r="B40" s="13">
        <f>SUM(B41:B47)</f>
        <v>1658528</v>
      </c>
      <c r="C40" s="28">
        <f>SUM(C41:C47)</f>
        <v>663528</v>
      </c>
      <c r="D40" s="63"/>
      <c r="E40" s="64"/>
      <c r="F40" s="34"/>
      <c r="G40" s="34"/>
      <c r="H40" s="65"/>
      <c r="I40" s="49"/>
      <c r="J40" s="53"/>
      <c r="K40" s="81"/>
      <c r="L40" s="58"/>
      <c r="M40" s="58"/>
      <c r="N40" s="53"/>
      <c r="O40" s="53"/>
      <c r="P40" s="53"/>
      <c r="Q40" s="53"/>
      <c r="R40" s="53"/>
      <c r="S40" s="53"/>
      <c r="T40" s="53"/>
      <c r="U40" s="53"/>
      <c r="V40" s="53"/>
      <c r="W40" s="22"/>
      <c r="X40" s="22"/>
    </row>
    <row r="41" spans="1:25" x14ac:dyDescent="0.2">
      <c r="A41" s="10" t="s">
        <v>26</v>
      </c>
      <c r="B41" s="11">
        <v>1658528</v>
      </c>
      <c r="C41" s="32">
        <v>663528</v>
      </c>
      <c r="D41" s="40"/>
      <c r="E41" s="40"/>
      <c r="F41" s="40"/>
      <c r="G41" s="40"/>
      <c r="H41" s="40"/>
      <c r="I41" s="49"/>
      <c r="J41" s="53"/>
      <c r="K41" s="58"/>
      <c r="L41" s="58"/>
      <c r="M41" s="58"/>
      <c r="N41" s="53"/>
      <c r="O41" s="53"/>
      <c r="P41" s="53"/>
      <c r="Q41" s="53"/>
      <c r="R41" s="53"/>
      <c r="S41" s="53"/>
      <c r="T41" s="53"/>
      <c r="U41" s="53"/>
      <c r="V41" s="53"/>
    </row>
    <row r="42" spans="1:25" ht="26.4" x14ac:dyDescent="0.2">
      <c r="A42" s="10" t="s">
        <v>42</v>
      </c>
      <c r="B42" s="11"/>
      <c r="C42" s="33"/>
      <c r="D42" s="15"/>
      <c r="E42" s="15"/>
      <c r="F42" s="15"/>
      <c r="G42" s="15"/>
      <c r="H42" s="15"/>
      <c r="I42" s="49"/>
      <c r="J42" s="53"/>
      <c r="K42" s="58"/>
      <c r="L42" s="58"/>
      <c r="M42" s="58"/>
      <c r="N42" s="53"/>
      <c r="O42" s="76"/>
      <c r="P42" s="53"/>
      <c r="Q42" s="53"/>
      <c r="R42" s="53"/>
      <c r="S42" s="53"/>
      <c r="T42" s="53"/>
      <c r="U42" s="53"/>
      <c r="V42" s="53"/>
    </row>
    <row r="43" spans="1:25" ht="26.4" x14ac:dyDescent="0.2">
      <c r="A43" s="10" t="s">
        <v>43</v>
      </c>
      <c r="B43" s="11"/>
      <c r="C43" s="33"/>
      <c r="D43" s="15"/>
      <c r="E43" s="15"/>
      <c r="F43" s="15"/>
      <c r="G43" s="15"/>
      <c r="H43" s="15"/>
      <c r="I43" s="49"/>
      <c r="J43" s="53"/>
      <c r="K43" s="58"/>
      <c r="L43" s="58"/>
      <c r="M43" s="53"/>
      <c r="N43" s="53"/>
      <c r="O43" s="53"/>
      <c r="P43" s="53"/>
      <c r="Q43" s="53"/>
      <c r="R43" s="53"/>
      <c r="S43" s="53"/>
      <c r="T43" s="53"/>
      <c r="U43" s="53"/>
      <c r="V43" s="53"/>
    </row>
    <row r="44" spans="1:25" ht="26.4" x14ac:dyDescent="0.2">
      <c r="A44" s="10" t="s">
        <v>44</v>
      </c>
      <c r="B44" s="11"/>
      <c r="C44" s="33"/>
      <c r="D44" s="15"/>
      <c r="E44" s="15"/>
      <c r="F44" s="15"/>
      <c r="G44" s="15"/>
      <c r="H44" s="15"/>
      <c r="I44" s="49"/>
      <c r="J44" s="53"/>
      <c r="K44" s="81"/>
      <c r="L44" s="61"/>
      <c r="M44" s="74"/>
      <c r="N44" s="74"/>
      <c r="O44" s="61"/>
      <c r="P44" s="53"/>
      <c r="Q44" s="53"/>
      <c r="R44" s="53"/>
      <c r="S44" s="53"/>
      <c r="T44" s="53"/>
      <c r="U44" s="53"/>
      <c r="V44" s="53"/>
    </row>
    <row r="45" spans="1:25" ht="26.4" x14ac:dyDescent="0.2">
      <c r="A45" s="10" t="s">
        <v>45</v>
      </c>
      <c r="B45" s="11"/>
      <c r="C45" s="33"/>
      <c r="D45" s="15"/>
      <c r="E45" s="15"/>
      <c r="F45" s="15"/>
      <c r="G45" s="15"/>
      <c r="H45" s="15"/>
      <c r="I45" s="49"/>
      <c r="J45" s="53"/>
      <c r="K45" s="74"/>
      <c r="L45" s="53"/>
      <c r="M45" s="53"/>
      <c r="N45" s="53"/>
      <c r="O45" s="58"/>
      <c r="P45" s="53"/>
      <c r="Q45" s="53"/>
      <c r="R45" s="53"/>
      <c r="S45" s="53"/>
      <c r="T45" s="53"/>
      <c r="U45" s="53"/>
      <c r="V45" s="53"/>
    </row>
    <row r="46" spans="1:25" x14ac:dyDescent="0.2">
      <c r="A46" s="10" t="s">
        <v>27</v>
      </c>
      <c r="B46" s="11"/>
      <c r="C46" s="33"/>
      <c r="D46" s="15"/>
      <c r="E46" s="15"/>
      <c r="F46" s="15"/>
      <c r="G46" s="15"/>
      <c r="H46" s="15"/>
      <c r="I46" s="49"/>
      <c r="J46" s="53"/>
      <c r="K46" s="53"/>
      <c r="L46" s="53"/>
      <c r="M46" s="53"/>
      <c r="N46" s="53"/>
      <c r="O46" s="53"/>
      <c r="P46" s="53"/>
      <c r="Q46" s="53"/>
      <c r="R46" s="53"/>
      <c r="S46" s="53"/>
    </row>
    <row r="47" spans="1:25" ht="27" thickBot="1" x14ac:dyDescent="0.25">
      <c r="A47" s="10" t="s">
        <v>46</v>
      </c>
      <c r="B47" s="11"/>
      <c r="C47" s="33"/>
      <c r="D47" s="39"/>
      <c r="E47" s="39"/>
      <c r="F47" s="39"/>
      <c r="G47" s="39"/>
      <c r="H47" s="39"/>
      <c r="I47" s="49"/>
      <c r="J47" s="53"/>
      <c r="K47" s="62"/>
      <c r="L47" s="53"/>
      <c r="M47" s="53"/>
      <c r="N47" s="53"/>
      <c r="O47" s="53"/>
      <c r="P47" s="53"/>
      <c r="Q47" s="53"/>
      <c r="R47" s="53"/>
      <c r="S47" s="53"/>
    </row>
    <row r="48" spans="1:25" ht="13.8" thickBot="1" x14ac:dyDescent="0.25">
      <c r="A48" s="8" t="s">
        <v>47</v>
      </c>
      <c r="B48" s="16"/>
      <c r="C48" s="34"/>
      <c r="D48" s="41"/>
      <c r="E48" s="41"/>
      <c r="F48" s="41"/>
      <c r="G48" s="41"/>
      <c r="H48" s="41"/>
      <c r="I48" s="49"/>
      <c r="J48" s="53"/>
      <c r="K48" s="53"/>
      <c r="L48" s="53"/>
      <c r="M48" s="53"/>
      <c r="N48" s="53"/>
      <c r="O48" s="53"/>
      <c r="P48" s="53"/>
      <c r="Q48" s="53"/>
      <c r="R48" s="53"/>
      <c r="S48" s="53"/>
    </row>
    <row r="49" spans="1:9" x14ac:dyDescent="0.2">
      <c r="A49" s="10" t="s">
        <v>48</v>
      </c>
      <c r="B49" s="11"/>
      <c r="C49" s="33"/>
      <c r="D49" s="40"/>
      <c r="E49" s="40"/>
      <c r="F49" s="40"/>
      <c r="G49" s="40"/>
      <c r="H49" s="40"/>
      <c r="I49" s="49"/>
    </row>
    <row r="50" spans="1:9" ht="26.4" x14ac:dyDescent="0.2">
      <c r="A50" s="10" t="s">
        <v>49</v>
      </c>
      <c r="B50" s="11"/>
      <c r="C50" s="33"/>
      <c r="D50" s="15"/>
      <c r="E50" s="15"/>
      <c r="F50" s="15"/>
      <c r="G50" s="15"/>
      <c r="H50" s="15"/>
      <c r="I50" s="49"/>
    </row>
    <row r="51" spans="1:9" ht="26.4" x14ac:dyDescent="0.2">
      <c r="A51" s="10" t="s">
        <v>50</v>
      </c>
      <c r="B51" s="11"/>
      <c r="C51" s="33"/>
      <c r="D51" s="15"/>
      <c r="E51" s="15"/>
      <c r="F51" s="15"/>
      <c r="G51" s="15"/>
      <c r="H51" s="15"/>
      <c r="I51" s="49"/>
    </row>
    <row r="52" spans="1:9" ht="26.4" x14ac:dyDescent="0.2">
      <c r="A52" s="10" t="s">
        <v>51</v>
      </c>
      <c r="B52" s="11"/>
      <c r="C52" s="33"/>
      <c r="D52" s="15"/>
      <c r="E52" s="15"/>
      <c r="F52" s="15"/>
      <c r="G52" s="15"/>
      <c r="H52" s="15"/>
      <c r="I52" s="49"/>
    </row>
    <row r="53" spans="1:9" ht="26.4" x14ac:dyDescent="0.2">
      <c r="A53" s="10" t="s">
        <v>52</v>
      </c>
      <c r="B53" s="11"/>
      <c r="C53" s="33"/>
      <c r="D53" s="15"/>
      <c r="E53" s="15"/>
      <c r="F53" s="15"/>
      <c r="G53" s="15"/>
      <c r="H53" s="15"/>
      <c r="I53" s="49"/>
    </row>
    <row r="54" spans="1:9" x14ac:dyDescent="0.2">
      <c r="A54" s="10" t="s">
        <v>53</v>
      </c>
      <c r="B54" s="11"/>
      <c r="C54" s="33"/>
      <c r="D54" s="15"/>
      <c r="E54" s="15"/>
      <c r="F54" s="15"/>
      <c r="G54" s="15"/>
      <c r="H54" s="15"/>
      <c r="I54" s="49"/>
    </row>
    <row r="55" spans="1:9" ht="27" thickBot="1" x14ac:dyDescent="0.25">
      <c r="A55" s="10" t="s">
        <v>54</v>
      </c>
      <c r="B55" s="11"/>
      <c r="C55" s="33"/>
      <c r="D55" s="39"/>
      <c r="E55" s="39"/>
      <c r="F55" s="39"/>
      <c r="G55" s="39"/>
      <c r="H55" s="39"/>
      <c r="I55" s="49"/>
    </row>
    <row r="56" spans="1:9" ht="13.8" thickBot="1" x14ac:dyDescent="0.25">
      <c r="A56" s="8" t="s">
        <v>28</v>
      </c>
      <c r="B56" s="13">
        <f>SUM(B57:B65)</f>
        <v>325269800</v>
      </c>
      <c r="C56" s="28">
        <f>SUM(C57:C65)</f>
        <v>36995381.07</v>
      </c>
      <c r="D56" s="41"/>
      <c r="E56" s="41"/>
      <c r="F56" s="43">
        <f>F57</f>
        <v>992248.41</v>
      </c>
      <c r="G56" s="43"/>
      <c r="H56" s="43">
        <f>F57+G56</f>
        <v>992248.41</v>
      </c>
      <c r="I56" s="49"/>
    </row>
    <row r="57" spans="1:9" x14ac:dyDescent="0.2">
      <c r="A57" s="10" t="s">
        <v>29</v>
      </c>
      <c r="B57" s="12">
        <f>469800+5000000</f>
        <v>5469800</v>
      </c>
      <c r="C57" s="32">
        <f>250000+2342769.8+282231.4+4900000</f>
        <v>7775001.1999999993</v>
      </c>
      <c r="D57" s="40"/>
      <c r="E57" s="40"/>
      <c r="F57" s="7">
        <v>992248.41</v>
      </c>
      <c r="H57" s="40">
        <f>F57</f>
        <v>992248.41</v>
      </c>
      <c r="I57" s="49"/>
    </row>
    <row r="58" spans="1:9" x14ac:dyDescent="0.2">
      <c r="A58" s="10" t="s">
        <v>30</v>
      </c>
      <c r="B58" s="12">
        <v>800000</v>
      </c>
      <c r="C58" s="26">
        <v>2205000</v>
      </c>
      <c r="D58" s="15"/>
      <c r="E58" s="15"/>
      <c r="F58" s="15"/>
      <c r="G58" s="15"/>
      <c r="H58" s="15" t="s">
        <v>100</v>
      </c>
      <c r="I58" s="49"/>
    </row>
    <row r="59" spans="1:9" x14ac:dyDescent="0.2">
      <c r="A59" s="10" t="s">
        <v>31</v>
      </c>
      <c r="B59" s="12">
        <v>3200000</v>
      </c>
      <c r="C59" s="32">
        <v>89000</v>
      </c>
      <c r="D59" s="15"/>
      <c r="E59" s="15"/>
      <c r="F59" s="15"/>
      <c r="G59" s="15"/>
      <c r="H59" s="15"/>
      <c r="I59" s="49"/>
    </row>
    <row r="60" spans="1:9" ht="26.4" x14ac:dyDescent="0.2">
      <c r="A60" s="10" t="s">
        <v>32</v>
      </c>
      <c r="B60" s="12">
        <f>10000000+5000000</f>
        <v>15000000</v>
      </c>
      <c r="C60" s="32">
        <v>41300</v>
      </c>
      <c r="D60" s="15"/>
      <c r="E60" s="15"/>
      <c r="F60" s="15"/>
      <c r="G60" s="15"/>
      <c r="H60" s="15"/>
      <c r="I60" s="49"/>
    </row>
    <row r="61" spans="1:9" x14ac:dyDescent="0.2">
      <c r="A61" s="10" t="s">
        <v>33</v>
      </c>
      <c r="B61" s="11">
        <v>0</v>
      </c>
      <c r="C61" s="32">
        <f>200000+1143262.87+496817+45000</f>
        <v>1885079.87</v>
      </c>
      <c r="D61" s="15"/>
      <c r="E61" s="15"/>
      <c r="F61" s="15"/>
      <c r="G61" s="15"/>
      <c r="H61" s="15"/>
      <c r="I61" s="49"/>
    </row>
    <row r="62" spans="1:9" x14ac:dyDescent="0.2">
      <c r="A62" s="10" t="s">
        <v>55</v>
      </c>
      <c r="B62" s="11"/>
      <c r="C62" s="33"/>
      <c r="D62" s="15"/>
      <c r="E62" s="15"/>
      <c r="F62" s="15"/>
      <c r="G62" s="15"/>
      <c r="H62" s="15"/>
      <c r="I62" s="49"/>
    </row>
    <row r="63" spans="1:9" x14ac:dyDescent="0.2">
      <c r="A63" s="10" t="s">
        <v>56</v>
      </c>
      <c r="B63" s="11" t="s">
        <v>87</v>
      </c>
      <c r="C63" s="33"/>
      <c r="D63" s="15"/>
      <c r="E63" s="15"/>
      <c r="F63" s="15"/>
      <c r="G63" s="15"/>
      <c r="H63" s="15"/>
      <c r="I63" s="49"/>
    </row>
    <row r="64" spans="1:9" x14ac:dyDescent="0.2">
      <c r="A64" s="10" t="s">
        <v>34</v>
      </c>
      <c r="B64" s="11">
        <v>0</v>
      </c>
      <c r="C64" s="33"/>
      <c r="D64" s="15"/>
      <c r="E64" s="15"/>
      <c r="F64" s="15"/>
      <c r="G64" s="15"/>
      <c r="H64" s="15"/>
      <c r="I64" s="49"/>
    </row>
    <row r="65" spans="1:10" ht="27" thickBot="1" x14ac:dyDescent="0.25">
      <c r="A65" s="10" t="s">
        <v>57</v>
      </c>
      <c r="B65" s="11">
        <v>300800000</v>
      </c>
      <c r="C65" s="32">
        <v>25000000</v>
      </c>
      <c r="D65" s="39"/>
      <c r="E65" s="39"/>
      <c r="F65" s="39"/>
      <c r="G65" s="39"/>
      <c r="H65" s="39"/>
      <c r="I65" s="49"/>
    </row>
    <row r="66" spans="1:10" ht="13.8" thickBot="1" x14ac:dyDescent="0.25">
      <c r="A66" s="8" t="s">
        <v>58</v>
      </c>
      <c r="B66" s="13">
        <f>+B67+B68</f>
        <v>4277021435</v>
      </c>
      <c r="C66" s="35">
        <f>C67+C68</f>
        <v>4458332250.3400002</v>
      </c>
      <c r="D66" s="43">
        <f>D67</f>
        <v>110391366.58</v>
      </c>
      <c r="E66" s="43">
        <f>E68+E67</f>
        <v>10922222.359999999</v>
      </c>
      <c r="F66" s="43">
        <f>F67</f>
        <v>1210498817.97</v>
      </c>
      <c r="G66" s="43">
        <f>G67</f>
        <v>8372229.7799999993</v>
      </c>
      <c r="H66" s="43">
        <f>D66+E66+F66+G66</f>
        <v>1340184636.6900001</v>
      </c>
      <c r="I66" s="56"/>
      <c r="J66" s="7"/>
    </row>
    <row r="67" spans="1:10" x14ac:dyDescent="0.2">
      <c r="A67" s="10" t="s">
        <v>59</v>
      </c>
      <c r="B67" s="12">
        <f>125000000+5000000+2801570400+50000000+95062600</f>
        <v>3076633000</v>
      </c>
      <c r="C67" s="32">
        <f>60493000+25000000+3178835755.34+50000000</f>
        <v>3314328755.3400002</v>
      </c>
      <c r="D67" s="40">
        <v>110391366.58</v>
      </c>
      <c r="E67" s="40">
        <v>10922222.359999999</v>
      </c>
      <c r="F67" s="7">
        <f>1200000000+5362779.19+5136038.78</f>
        <v>1210498817.97</v>
      </c>
      <c r="G67" s="7">
        <f>3860884.15+4511345.63</f>
        <v>8372229.7799999993</v>
      </c>
      <c r="H67" s="40">
        <f>D67+E67+F67+G67</f>
        <v>1340184636.6900001</v>
      </c>
      <c r="I67" s="49"/>
    </row>
    <row r="68" spans="1:10" x14ac:dyDescent="0.2">
      <c r="A68" s="10" t="s">
        <v>60</v>
      </c>
      <c r="B68" s="12">
        <f>50000000+730300000+25000000+100000000+105088435+25000000+50000000+65000000+50000000</f>
        <v>1200388435</v>
      </c>
      <c r="C68" s="32">
        <f>34000000+10000000+772807000+16000000+14113000+297083495</f>
        <v>1144003495</v>
      </c>
      <c r="D68" s="15"/>
      <c r="E68" s="66"/>
      <c r="F68" s="66"/>
      <c r="G68" s="66"/>
      <c r="H68" s="15"/>
      <c r="I68" s="49"/>
    </row>
    <row r="69" spans="1:10" x14ac:dyDescent="0.2">
      <c r="A69" s="10" t="s">
        <v>61</v>
      </c>
      <c r="B69" s="11"/>
      <c r="C69" s="36"/>
      <c r="D69" s="15"/>
      <c r="E69" s="15"/>
      <c r="F69" s="15"/>
      <c r="G69" s="15"/>
      <c r="H69" s="15"/>
      <c r="I69" s="49"/>
    </row>
    <row r="70" spans="1:10" ht="13.95" customHeight="1" thickBot="1" x14ac:dyDescent="0.25">
      <c r="A70" s="10" t="s">
        <v>62</v>
      </c>
      <c r="B70" s="11"/>
      <c r="C70" s="33"/>
      <c r="D70" s="39"/>
      <c r="E70" s="39"/>
      <c r="F70" s="39"/>
      <c r="G70" s="39"/>
      <c r="H70" s="39"/>
      <c r="I70" s="49"/>
    </row>
    <row r="71" spans="1:10" ht="27.6" customHeight="1" thickBot="1" x14ac:dyDescent="0.25">
      <c r="A71" s="8" t="s">
        <v>63</v>
      </c>
      <c r="B71" s="16"/>
      <c r="C71" s="34"/>
      <c r="D71" s="41"/>
      <c r="E71" s="41"/>
      <c r="F71" s="41"/>
      <c r="G71" s="41"/>
      <c r="H71" s="41"/>
      <c r="I71" s="49"/>
    </row>
    <row r="72" spans="1:10" x14ac:dyDescent="0.2">
      <c r="A72" s="10" t="s">
        <v>64</v>
      </c>
      <c r="B72" s="11"/>
      <c r="C72" s="33"/>
      <c r="D72" s="40"/>
      <c r="E72" s="40"/>
      <c r="F72" s="40"/>
      <c r="G72" s="40"/>
      <c r="H72" s="40"/>
      <c r="I72" s="49"/>
    </row>
    <row r="73" spans="1:10" ht="27" thickBot="1" x14ac:dyDescent="0.25">
      <c r="A73" s="10" t="s">
        <v>65</v>
      </c>
      <c r="B73" s="11"/>
      <c r="C73" s="33"/>
      <c r="D73" s="39"/>
      <c r="E73" s="39"/>
      <c r="F73" s="39"/>
      <c r="G73" s="39"/>
      <c r="H73" s="39"/>
      <c r="I73" s="49"/>
    </row>
    <row r="74" spans="1:10" ht="13.8" thickBot="1" x14ac:dyDescent="0.25">
      <c r="A74" s="8" t="s">
        <v>66</v>
      </c>
      <c r="B74" s="16"/>
      <c r="C74" s="34"/>
      <c r="D74" s="41"/>
      <c r="E74" s="41"/>
      <c r="F74" s="41"/>
      <c r="G74" s="41"/>
      <c r="H74" s="41"/>
      <c r="I74" s="49"/>
    </row>
    <row r="75" spans="1:10" x14ac:dyDescent="0.2">
      <c r="A75" s="10" t="s">
        <v>67</v>
      </c>
      <c r="B75" s="11"/>
      <c r="C75" s="33"/>
      <c r="D75" s="40"/>
      <c r="E75" s="40"/>
      <c r="F75" s="40"/>
      <c r="G75" s="40"/>
      <c r="H75" s="40"/>
      <c r="I75" s="49"/>
    </row>
    <row r="76" spans="1:10" ht="12.6" customHeight="1" x14ac:dyDescent="0.2">
      <c r="A76" s="10" t="s">
        <v>68</v>
      </c>
      <c r="B76" s="11"/>
      <c r="C76" s="33"/>
      <c r="D76" s="15"/>
      <c r="E76" s="15"/>
      <c r="F76" s="15"/>
      <c r="G76" s="15"/>
      <c r="H76" s="15"/>
      <c r="I76" s="49"/>
    </row>
    <row r="77" spans="1:10" ht="27" thickBot="1" x14ac:dyDescent="0.25">
      <c r="A77" s="10" t="s">
        <v>69</v>
      </c>
      <c r="B77" s="11"/>
      <c r="C77" s="33"/>
      <c r="D77" s="39"/>
      <c r="E77" s="39"/>
      <c r="F77" s="39"/>
      <c r="G77" s="39"/>
      <c r="H77" s="39"/>
      <c r="I77" s="49"/>
    </row>
    <row r="78" spans="1:10" ht="13.8" thickBot="1" x14ac:dyDescent="0.25">
      <c r="A78" s="17" t="s">
        <v>35</v>
      </c>
      <c r="B78" s="13">
        <f>+B13</f>
        <v>5008002151</v>
      </c>
      <c r="C78" s="28">
        <f>+C13</f>
        <v>5015487707.2800007</v>
      </c>
      <c r="D78" s="43">
        <f>D13</f>
        <v>127297044.56999999</v>
      </c>
      <c r="E78" s="43">
        <f>E13</f>
        <v>57822372.550000004</v>
      </c>
      <c r="F78" s="43">
        <f>F13</f>
        <v>1244256897.8700001</v>
      </c>
      <c r="G78" s="43">
        <f>G13</f>
        <v>32713133.039999999</v>
      </c>
      <c r="H78" s="43">
        <f>D78+E78+F78+G78</f>
        <v>1462089448.0300002</v>
      </c>
      <c r="I78" s="56"/>
    </row>
    <row r="79" spans="1:10" ht="13.8" thickBot="1" x14ac:dyDescent="0.25">
      <c r="A79" s="5" t="s">
        <v>70</v>
      </c>
      <c r="B79" s="18"/>
      <c r="C79" s="33"/>
      <c r="D79" s="40"/>
      <c r="E79" s="40"/>
      <c r="F79" s="40"/>
      <c r="G79" s="40"/>
      <c r="H79" s="40"/>
      <c r="I79" s="49"/>
    </row>
    <row r="80" spans="1:10" ht="13.8" thickBot="1" x14ac:dyDescent="0.25">
      <c r="A80" s="8" t="s">
        <v>71</v>
      </c>
      <c r="B80" s="16"/>
      <c r="C80" s="34"/>
      <c r="D80" s="15"/>
      <c r="E80" s="15"/>
      <c r="F80" s="15"/>
      <c r="G80" s="15"/>
      <c r="H80" s="15"/>
      <c r="I80" s="49"/>
    </row>
    <row r="81" spans="1:9" x14ac:dyDescent="0.2">
      <c r="A81" s="10" t="s">
        <v>72</v>
      </c>
      <c r="B81" s="11">
        <v>0</v>
      </c>
      <c r="C81" s="33"/>
      <c r="D81" s="15"/>
      <c r="E81" s="15"/>
      <c r="F81" s="15"/>
      <c r="G81" s="15"/>
      <c r="H81" s="15"/>
      <c r="I81" s="49"/>
    </row>
    <row r="82" spans="1:9" ht="13.8" thickBot="1" x14ac:dyDescent="0.25">
      <c r="A82" s="10" t="s">
        <v>73</v>
      </c>
      <c r="B82" s="11">
        <v>0</v>
      </c>
      <c r="C82" s="33"/>
      <c r="D82" s="39"/>
      <c r="E82" s="39"/>
      <c r="F82" s="39"/>
      <c r="G82" s="39"/>
      <c r="H82" s="39"/>
      <c r="I82" s="49"/>
    </row>
    <row r="83" spans="1:9" ht="13.8" thickBot="1" x14ac:dyDescent="0.25">
      <c r="A83" s="8" t="s">
        <v>74</v>
      </c>
      <c r="B83" s="16"/>
      <c r="C83" s="34"/>
      <c r="D83" s="41"/>
      <c r="E83" s="41"/>
      <c r="F83" s="41"/>
      <c r="G83" s="41"/>
      <c r="H83" s="41"/>
      <c r="I83" s="49"/>
    </row>
    <row r="84" spans="1:9" x14ac:dyDescent="0.2">
      <c r="A84" s="10" t="s">
        <v>75</v>
      </c>
      <c r="B84" s="11">
        <v>0</v>
      </c>
      <c r="C84" s="33"/>
      <c r="D84" s="40"/>
      <c r="E84" s="40"/>
      <c r="F84" s="40"/>
      <c r="G84" s="40"/>
      <c r="H84" s="40"/>
      <c r="I84" s="49"/>
    </row>
    <row r="85" spans="1:9" ht="13.8" thickBot="1" x14ac:dyDescent="0.25">
      <c r="A85" s="10" t="s">
        <v>76</v>
      </c>
      <c r="B85" s="11">
        <v>0</v>
      </c>
      <c r="C85" s="33"/>
      <c r="D85" s="15"/>
      <c r="E85" s="15"/>
      <c r="F85" s="15"/>
      <c r="G85" s="15"/>
      <c r="H85" s="15"/>
      <c r="I85" s="49"/>
    </row>
    <row r="86" spans="1:9" ht="13.8" thickBot="1" x14ac:dyDescent="0.25">
      <c r="A86" s="8" t="s">
        <v>77</v>
      </c>
      <c r="B86" s="16"/>
      <c r="C86" s="34"/>
      <c r="D86" s="15"/>
      <c r="E86" s="15"/>
      <c r="F86" s="15"/>
      <c r="G86" s="15"/>
      <c r="H86" s="15"/>
      <c r="I86" s="49"/>
    </row>
    <row r="87" spans="1:9" ht="13.8" thickBot="1" x14ac:dyDescent="0.25">
      <c r="A87" s="10" t="s">
        <v>78</v>
      </c>
      <c r="B87" s="11">
        <v>0</v>
      </c>
      <c r="C87" s="33"/>
      <c r="D87" s="39"/>
      <c r="E87" s="39"/>
      <c r="F87" s="39"/>
      <c r="G87" s="39"/>
      <c r="H87" s="39"/>
      <c r="I87" s="49"/>
    </row>
    <row r="88" spans="1:9" ht="13.8" thickBot="1" x14ac:dyDescent="0.25">
      <c r="A88" s="17" t="s">
        <v>79</v>
      </c>
      <c r="B88" s="16"/>
      <c r="C88" s="34"/>
      <c r="D88" s="41"/>
      <c r="E88" s="41"/>
      <c r="F88" s="41"/>
      <c r="G88" s="41"/>
      <c r="H88" s="41"/>
      <c r="I88" s="49"/>
    </row>
    <row r="89" spans="1:9" ht="13.8" thickBot="1" x14ac:dyDescent="0.25">
      <c r="B89" s="19"/>
      <c r="C89" s="37"/>
      <c r="D89" s="44"/>
      <c r="E89" s="44"/>
      <c r="F89" s="44"/>
      <c r="G89" s="44"/>
      <c r="H89" s="44"/>
      <c r="I89" s="49"/>
    </row>
    <row r="90" spans="1:9" ht="15.6" thickBot="1" x14ac:dyDescent="0.25">
      <c r="A90" s="20" t="s">
        <v>80</v>
      </c>
      <c r="B90" s="21">
        <f>+B78</f>
        <v>5008002151</v>
      </c>
      <c r="C90" s="38">
        <f>+C78</f>
        <v>5015487707.2800007</v>
      </c>
      <c r="D90" s="47">
        <f>D78</f>
        <v>127297044.56999999</v>
      </c>
      <c r="E90" s="47">
        <f>E78</f>
        <v>57822372.550000004</v>
      </c>
      <c r="F90" s="47">
        <f>F78</f>
        <v>1244256897.8700001</v>
      </c>
      <c r="G90" s="47">
        <f>G78</f>
        <v>32713133.039999999</v>
      </c>
      <c r="H90" s="47">
        <f>D90+E90+F90+G90</f>
        <v>1462089448.0300002</v>
      </c>
      <c r="I90" s="56"/>
    </row>
    <row r="91" spans="1:9" ht="13.8" thickTop="1" x14ac:dyDescent="0.2">
      <c r="A91" s="1" t="s">
        <v>81</v>
      </c>
    </row>
    <row r="92" spans="1:9" x14ac:dyDescent="0.2">
      <c r="A92" s="1" t="s">
        <v>92</v>
      </c>
    </row>
    <row r="93" spans="1:9" x14ac:dyDescent="0.2">
      <c r="A93" s="1" t="s">
        <v>93</v>
      </c>
    </row>
    <row r="94" spans="1:9" x14ac:dyDescent="0.2">
      <c r="A94" s="1" t="s">
        <v>82</v>
      </c>
    </row>
    <row r="95" spans="1:9" x14ac:dyDescent="0.2">
      <c r="A95" s="22" t="s">
        <v>94</v>
      </c>
    </row>
    <row r="96" spans="1:9" x14ac:dyDescent="0.2">
      <c r="A96" s="1" t="s">
        <v>84</v>
      </c>
    </row>
    <row r="97" spans="1:1" x14ac:dyDescent="0.2">
      <c r="A97" s="1" t="s">
        <v>83</v>
      </c>
    </row>
    <row r="104" spans="1:1" x14ac:dyDescent="0.2">
      <c r="A104" s="1" t="s">
        <v>89</v>
      </c>
    </row>
    <row r="105" spans="1:1" x14ac:dyDescent="0.2">
      <c r="A105" s="1" t="s">
        <v>90</v>
      </c>
    </row>
    <row r="106" spans="1:1" x14ac:dyDescent="0.2">
      <c r="A106" s="1" t="s">
        <v>91</v>
      </c>
    </row>
  </sheetData>
  <mergeCells count="4">
    <mergeCell ref="A8:C8"/>
    <mergeCell ref="A9:C9"/>
    <mergeCell ref="A11:C11"/>
    <mergeCell ref="A10:C10"/>
  </mergeCells>
  <pageMargins left="0.7" right="0.7" top="0.75" bottom="0.75" header="0.3" footer="0.3"/>
  <pageSetup paperSize="5" scale="51" fitToWidth="0" orientation="portrait" horizontalDpi="4294967295" verticalDpi="4294967295" r:id="rId1"/>
  <rowBreaks count="1" manualBreakCount="1">
    <brk id="1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33EAA-2F0D-4FDA-9091-3713C0F7DEA6}">
  <dimension ref="A1:L47"/>
  <sheetViews>
    <sheetView tabSelected="1" topLeftCell="A46" zoomScale="190" zoomScaleNormal="190" workbookViewId="0">
      <selection activeCell="E5" sqref="E5"/>
    </sheetView>
  </sheetViews>
  <sheetFormatPr baseColWidth="10" defaultRowHeight="14.4" x14ac:dyDescent="0.3"/>
  <cols>
    <col min="1" max="1" width="9.88671875" customWidth="1"/>
    <col min="2" max="2" width="11.109375" customWidth="1"/>
    <col min="3" max="3" width="11.5546875" hidden="1" customWidth="1"/>
    <col min="4" max="4" width="11.6640625" customWidth="1"/>
    <col min="5" max="5" width="13.6640625" customWidth="1"/>
    <col min="7" max="7" width="11.6640625" customWidth="1"/>
  </cols>
  <sheetData>
    <row r="1" spans="1:12" x14ac:dyDescent="0.3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x14ac:dyDescent="0.3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x14ac:dyDescent="0.3">
      <c r="A3" s="85"/>
      <c r="B3" s="86"/>
      <c r="C3" s="86"/>
      <c r="D3" s="86"/>
      <c r="E3" s="86"/>
      <c r="F3" s="85"/>
      <c r="G3" s="85"/>
      <c r="H3" s="85"/>
      <c r="I3" s="85"/>
      <c r="J3" s="85"/>
      <c r="K3" s="85"/>
      <c r="L3" s="85"/>
    </row>
    <row r="4" spans="1:12" x14ac:dyDescent="0.3">
      <c r="A4" s="85"/>
      <c r="B4" s="84"/>
      <c r="C4" s="84"/>
      <c r="D4" s="87"/>
      <c r="E4" s="87"/>
      <c r="F4" s="85"/>
      <c r="G4" s="85"/>
      <c r="H4" s="85"/>
      <c r="I4" s="85"/>
      <c r="J4" s="85"/>
      <c r="K4" s="85"/>
      <c r="L4" s="85"/>
    </row>
    <row r="5" spans="1:12" x14ac:dyDescent="0.3">
      <c r="A5" s="85"/>
      <c r="B5" s="84"/>
      <c r="C5" s="84"/>
      <c r="D5" s="87"/>
      <c r="E5" s="87"/>
      <c r="F5" s="85"/>
      <c r="G5" s="85"/>
      <c r="H5" s="85"/>
      <c r="I5" s="85"/>
      <c r="J5" s="85"/>
      <c r="K5" s="85"/>
      <c r="L5" s="85"/>
    </row>
    <row r="6" spans="1:12" x14ac:dyDescent="0.3">
      <c r="A6" s="85"/>
      <c r="B6" s="84"/>
      <c r="C6" s="84"/>
      <c r="D6" s="87"/>
      <c r="E6" s="87"/>
      <c r="F6" s="85"/>
      <c r="G6" s="85"/>
      <c r="H6" s="85"/>
      <c r="I6" s="85"/>
      <c r="J6" s="85"/>
      <c r="K6" s="85"/>
      <c r="L6" s="85"/>
    </row>
    <row r="7" spans="1:12" x14ac:dyDescent="0.3">
      <c r="A7" s="85"/>
      <c r="B7" s="84"/>
      <c r="C7" s="84"/>
      <c r="D7" s="87"/>
      <c r="E7" s="87"/>
      <c r="F7" s="85"/>
      <c r="G7" s="85"/>
      <c r="H7" s="85"/>
      <c r="I7" s="85"/>
      <c r="J7" s="85"/>
      <c r="K7" s="85"/>
      <c r="L7" s="85"/>
    </row>
    <row r="8" spans="1:12" x14ac:dyDescent="0.3">
      <c r="A8" s="85"/>
      <c r="B8" s="84"/>
      <c r="C8" s="84"/>
      <c r="D8" s="87"/>
      <c r="E8" s="87"/>
      <c r="F8" s="85"/>
      <c r="G8" s="85"/>
      <c r="H8" s="85"/>
      <c r="I8" s="85"/>
      <c r="J8" s="85"/>
      <c r="K8" s="85"/>
      <c r="L8" s="85"/>
    </row>
    <row r="9" spans="1:12" x14ac:dyDescent="0.3">
      <c r="A9" s="85"/>
      <c r="B9" s="84"/>
      <c r="C9" s="84"/>
      <c r="D9" s="88"/>
      <c r="E9" s="87"/>
      <c r="F9" s="85"/>
      <c r="G9" s="85"/>
      <c r="H9" s="85"/>
      <c r="I9" s="85"/>
      <c r="J9" s="85"/>
      <c r="K9" s="85"/>
      <c r="L9" s="85"/>
    </row>
    <row r="10" spans="1:12" x14ac:dyDescent="0.3">
      <c r="A10" s="85"/>
      <c r="B10" s="84"/>
      <c r="C10" s="84"/>
      <c r="D10" s="88"/>
      <c r="E10" s="87"/>
      <c r="F10" s="85"/>
      <c r="G10" s="85"/>
      <c r="H10" s="85"/>
      <c r="I10" s="85"/>
      <c r="J10" s="85"/>
      <c r="K10" s="85"/>
      <c r="L10" s="85"/>
    </row>
    <row r="11" spans="1:12" x14ac:dyDescent="0.3">
      <c r="A11" s="85"/>
      <c r="B11" s="84"/>
      <c r="C11" s="84"/>
      <c r="D11" s="88"/>
      <c r="E11" s="87"/>
      <c r="F11" s="85"/>
      <c r="G11" s="85"/>
      <c r="H11" s="85"/>
      <c r="I11" s="85"/>
      <c r="J11" s="85"/>
      <c r="K11" s="85"/>
      <c r="L11" s="85"/>
    </row>
    <row r="12" spans="1:12" x14ac:dyDescent="0.3">
      <c r="A12" s="85"/>
      <c r="B12" s="84"/>
      <c r="C12" s="84"/>
      <c r="D12" s="89"/>
      <c r="E12" s="87"/>
      <c r="F12" s="85"/>
      <c r="G12" s="85"/>
      <c r="H12" s="85"/>
      <c r="I12" s="85"/>
      <c r="J12" s="85"/>
      <c r="K12" s="85"/>
      <c r="L12" s="85"/>
    </row>
    <row r="13" spans="1:12" x14ac:dyDescent="0.3">
      <c r="A13" s="85"/>
      <c r="B13" s="90"/>
      <c r="C13" s="91"/>
      <c r="D13" s="90"/>
      <c r="E13" s="92"/>
      <c r="F13" s="85"/>
      <c r="G13" s="85"/>
      <c r="H13" s="85"/>
      <c r="I13" s="85"/>
      <c r="J13" s="85"/>
      <c r="K13" s="85"/>
      <c r="L13" s="85"/>
    </row>
    <row r="14" spans="1:12" x14ac:dyDescent="0.3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</row>
    <row r="15" spans="1:12" x14ac:dyDescent="0.3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</row>
    <row r="16" spans="1:12" x14ac:dyDescent="0.3">
      <c r="A16" s="85"/>
      <c r="B16" s="93"/>
      <c r="C16" s="85"/>
      <c r="D16" s="93"/>
      <c r="E16" s="93"/>
      <c r="F16" s="93"/>
      <c r="G16" s="93"/>
      <c r="H16" s="93"/>
      <c r="I16" s="93"/>
      <c r="J16" s="93"/>
      <c r="K16" s="93"/>
      <c r="L16" s="85"/>
    </row>
    <row r="17" spans="1:12" x14ac:dyDescent="0.3">
      <c r="A17" s="85"/>
      <c r="B17" s="94"/>
      <c r="C17" s="85"/>
      <c r="D17" s="94"/>
      <c r="E17" s="94"/>
      <c r="F17" s="94"/>
      <c r="G17" s="94"/>
      <c r="H17" s="94"/>
      <c r="I17" s="94"/>
      <c r="J17" s="94"/>
      <c r="K17" s="94"/>
      <c r="L17" s="85"/>
    </row>
    <row r="18" spans="1:12" x14ac:dyDescent="0.3">
      <c r="A18" s="85"/>
      <c r="B18" s="94"/>
      <c r="C18" s="85"/>
      <c r="D18" s="94"/>
      <c r="E18" s="94"/>
      <c r="F18" s="93"/>
      <c r="G18" s="94"/>
      <c r="H18" s="93"/>
      <c r="I18" s="94"/>
      <c r="J18" s="94"/>
      <c r="K18" s="94"/>
      <c r="L18" s="85"/>
    </row>
    <row r="19" spans="1:12" x14ac:dyDescent="0.3">
      <c r="A19" s="85"/>
      <c r="B19" s="94"/>
      <c r="C19" s="85"/>
      <c r="D19" s="94"/>
      <c r="E19" s="93"/>
      <c r="F19" s="93"/>
      <c r="G19" s="94"/>
      <c r="H19" s="93"/>
      <c r="I19" s="94"/>
      <c r="J19" s="94"/>
      <c r="K19" s="94"/>
      <c r="L19" s="85"/>
    </row>
    <row r="20" spans="1:12" x14ac:dyDescent="0.3">
      <c r="A20" s="85"/>
      <c r="B20" s="94"/>
      <c r="C20" s="85"/>
      <c r="D20" s="94"/>
      <c r="E20" s="93"/>
      <c r="F20" s="93"/>
      <c r="G20" s="93"/>
      <c r="H20" s="93"/>
      <c r="I20" s="94"/>
      <c r="J20" s="94"/>
      <c r="K20" s="94"/>
      <c r="L20" s="85"/>
    </row>
    <row r="21" spans="1:12" x14ac:dyDescent="0.3">
      <c r="A21" s="85"/>
      <c r="B21" s="85"/>
      <c r="C21" s="85"/>
      <c r="D21" s="85"/>
      <c r="E21" s="93"/>
      <c r="F21" s="93"/>
      <c r="G21" s="93"/>
      <c r="H21" s="93"/>
      <c r="I21" s="94"/>
      <c r="J21" s="94"/>
      <c r="K21" s="94"/>
      <c r="L21" s="85"/>
    </row>
    <row r="22" spans="1:12" x14ac:dyDescent="0.3">
      <c r="A22" s="85"/>
      <c r="B22" s="85"/>
      <c r="C22" s="85"/>
      <c r="D22" s="85"/>
      <c r="E22" s="93"/>
      <c r="F22" s="93"/>
      <c r="G22" s="93"/>
      <c r="H22" s="93"/>
      <c r="I22" s="94"/>
      <c r="J22" s="94"/>
      <c r="K22" s="94"/>
      <c r="L22" s="85"/>
    </row>
    <row r="23" spans="1:12" x14ac:dyDescent="0.3">
      <c r="A23" s="85"/>
      <c r="B23" s="85"/>
      <c r="C23" s="85"/>
      <c r="D23" s="85"/>
      <c r="E23" s="93"/>
      <c r="F23" s="93"/>
      <c r="G23" s="93"/>
      <c r="H23" s="93"/>
      <c r="I23" s="94"/>
      <c r="J23" s="94"/>
      <c r="K23" s="94"/>
      <c r="L23" s="85"/>
    </row>
    <row r="24" spans="1:12" x14ac:dyDescent="0.3">
      <c r="A24" s="85"/>
      <c r="B24" s="85"/>
      <c r="C24" s="85"/>
      <c r="D24" s="85"/>
      <c r="E24" s="93"/>
      <c r="F24" s="93"/>
      <c r="G24" s="93"/>
      <c r="H24" s="93"/>
      <c r="I24" s="94"/>
      <c r="J24" s="94"/>
      <c r="K24" s="94"/>
      <c r="L24" s="85"/>
    </row>
    <row r="25" spans="1:12" x14ac:dyDescent="0.3">
      <c r="A25" s="85"/>
      <c r="B25" s="85"/>
      <c r="C25" s="85"/>
      <c r="D25" s="85"/>
      <c r="E25" s="93"/>
      <c r="F25" s="93"/>
      <c r="G25" s="93"/>
      <c r="H25" s="93"/>
      <c r="I25" s="94"/>
      <c r="J25" s="94"/>
      <c r="K25" s="94"/>
      <c r="L25" s="85"/>
    </row>
    <row r="26" spans="1:12" x14ac:dyDescent="0.3">
      <c r="A26" s="85"/>
      <c r="B26" s="85"/>
      <c r="C26" s="85"/>
      <c r="D26" s="85"/>
      <c r="E26" s="93"/>
      <c r="F26" s="93"/>
      <c r="G26" s="93"/>
      <c r="H26" s="93"/>
      <c r="I26" s="94"/>
      <c r="J26" s="94"/>
      <c r="K26" s="94"/>
      <c r="L26" s="85"/>
    </row>
    <row r="27" spans="1:12" x14ac:dyDescent="0.3">
      <c r="A27" s="85"/>
      <c r="B27" s="85"/>
      <c r="C27" s="85"/>
      <c r="D27" s="85"/>
      <c r="E27" s="93"/>
      <c r="F27" s="93"/>
      <c r="G27" s="93"/>
      <c r="H27" s="93"/>
      <c r="I27" s="94"/>
      <c r="J27" s="94"/>
      <c r="K27" s="94"/>
      <c r="L27" s="85"/>
    </row>
    <row r="28" spans="1:12" x14ac:dyDescent="0.3">
      <c r="A28" s="85"/>
      <c r="B28" s="85"/>
      <c r="C28" s="85"/>
      <c r="D28" s="85"/>
      <c r="E28" s="93"/>
      <c r="F28" s="93"/>
      <c r="G28" s="93"/>
      <c r="H28" s="93"/>
      <c r="I28" s="94"/>
      <c r="J28" s="94"/>
      <c r="K28" s="94"/>
      <c r="L28" s="85"/>
    </row>
    <row r="29" spans="1:12" x14ac:dyDescent="0.3">
      <c r="A29" s="85"/>
      <c r="B29" s="85"/>
      <c r="C29" s="85"/>
      <c r="D29" s="85"/>
      <c r="E29" s="93"/>
      <c r="F29" s="93"/>
      <c r="G29" s="93"/>
      <c r="H29" s="93"/>
      <c r="I29" s="94"/>
      <c r="J29" s="94"/>
      <c r="K29" s="94"/>
      <c r="L29" s="85"/>
    </row>
    <row r="30" spans="1:12" x14ac:dyDescent="0.3">
      <c r="A30" s="85"/>
      <c r="B30" s="95"/>
      <c r="C30" s="85"/>
      <c r="D30" s="95"/>
      <c r="E30" s="95"/>
      <c r="F30" s="95"/>
      <c r="G30" s="95"/>
      <c r="H30" s="95"/>
      <c r="I30" s="95"/>
      <c r="J30" s="95"/>
      <c r="K30" s="94"/>
      <c r="L30" s="85"/>
    </row>
    <row r="31" spans="1:12" x14ac:dyDescent="0.3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</row>
    <row r="32" spans="1:12" x14ac:dyDescent="0.3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</row>
    <row r="33" spans="1:12" x14ac:dyDescent="0.3">
      <c r="A33" s="85"/>
      <c r="B33" s="93"/>
      <c r="C33" s="85"/>
      <c r="D33" s="93"/>
      <c r="E33" s="93"/>
      <c r="F33" s="93"/>
      <c r="G33" s="93"/>
      <c r="H33" s="93"/>
      <c r="I33" s="93"/>
      <c r="J33" s="93"/>
      <c r="K33" s="93"/>
      <c r="L33" s="85"/>
    </row>
    <row r="34" spans="1:12" x14ac:dyDescent="0.3">
      <c r="A34" s="85"/>
      <c r="B34" s="94"/>
      <c r="C34" s="85"/>
      <c r="D34" s="94"/>
      <c r="E34" s="94"/>
      <c r="F34" s="94"/>
      <c r="G34" s="94"/>
      <c r="H34" s="94"/>
      <c r="I34" s="94"/>
      <c r="J34" s="94"/>
      <c r="K34" s="94"/>
      <c r="L34" s="85"/>
    </row>
    <row r="35" spans="1:12" x14ac:dyDescent="0.3">
      <c r="A35" s="85"/>
      <c r="B35" s="94"/>
      <c r="C35" s="85"/>
      <c r="D35" s="94"/>
      <c r="E35" s="94"/>
      <c r="F35" s="94"/>
      <c r="G35" s="94"/>
      <c r="H35" s="94"/>
      <c r="I35" s="94"/>
      <c r="J35" s="94"/>
      <c r="K35" s="94"/>
      <c r="L35" s="85"/>
    </row>
    <row r="36" spans="1:12" x14ac:dyDescent="0.3">
      <c r="A36" s="85"/>
      <c r="B36" s="94"/>
      <c r="C36" s="85"/>
      <c r="D36" s="94"/>
      <c r="E36" s="94"/>
      <c r="F36" s="94"/>
      <c r="G36" s="94"/>
      <c r="H36" s="94"/>
      <c r="I36" s="94"/>
      <c r="J36" s="94"/>
      <c r="K36" s="94"/>
      <c r="L36" s="85"/>
    </row>
    <row r="37" spans="1:12" x14ac:dyDescent="0.3">
      <c r="A37" s="85"/>
      <c r="B37" s="93"/>
      <c r="C37" s="85"/>
      <c r="D37" s="94"/>
      <c r="E37" s="94"/>
      <c r="F37" s="94"/>
      <c r="G37" s="94"/>
      <c r="H37" s="94"/>
      <c r="I37" s="94"/>
      <c r="J37" s="94"/>
      <c r="K37" s="94"/>
      <c r="L37" s="85"/>
    </row>
    <row r="38" spans="1:12" x14ac:dyDescent="0.3">
      <c r="A38" s="85"/>
      <c r="B38" s="93"/>
      <c r="C38" s="85"/>
      <c r="D38" s="94"/>
      <c r="E38" s="94"/>
      <c r="F38" s="94"/>
      <c r="G38" s="94"/>
      <c r="H38" s="94"/>
      <c r="I38" s="94"/>
      <c r="J38" s="94"/>
      <c r="K38" s="94"/>
      <c r="L38" s="85"/>
    </row>
    <row r="39" spans="1:12" x14ac:dyDescent="0.3">
      <c r="A39" s="85"/>
      <c r="B39" s="93"/>
      <c r="C39" s="85"/>
      <c r="D39" s="94"/>
      <c r="E39" s="94"/>
      <c r="F39" s="94"/>
      <c r="G39" s="94"/>
      <c r="H39" s="94"/>
      <c r="I39" s="94"/>
      <c r="J39" s="94"/>
      <c r="K39" s="94"/>
      <c r="L39" s="85"/>
    </row>
    <row r="40" spans="1:12" x14ac:dyDescent="0.3">
      <c r="A40" s="85"/>
      <c r="B40" s="93"/>
      <c r="C40" s="85"/>
      <c r="D40" s="94"/>
      <c r="E40" s="94"/>
      <c r="F40" s="94"/>
      <c r="G40" s="94"/>
      <c r="H40" s="94"/>
      <c r="I40" s="94"/>
      <c r="J40" s="94"/>
      <c r="K40" s="94"/>
      <c r="L40" s="85"/>
    </row>
    <row r="41" spans="1:12" x14ac:dyDescent="0.3">
      <c r="A41" s="85"/>
      <c r="B41" s="93"/>
      <c r="C41" s="85"/>
      <c r="D41" s="94"/>
      <c r="E41" s="94"/>
      <c r="F41" s="94"/>
      <c r="G41" s="94"/>
      <c r="H41" s="94"/>
      <c r="I41" s="94"/>
      <c r="J41" s="94"/>
      <c r="K41" s="94"/>
      <c r="L41" s="85"/>
    </row>
    <row r="42" spans="1:12" x14ac:dyDescent="0.3">
      <c r="A42" s="85"/>
      <c r="B42" s="93"/>
      <c r="C42" s="85"/>
      <c r="D42" s="94"/>
      <c r="E42" s="94"/>
      <c r="F42" s="94"/>
      <c r="G42" s="94"/>
      <c r="H42" s="94"/>
      <c r="I42" s="94"/>
      <c r="J42" s="94"/>
      <c r="K42" s="94"/>
      <c r="L42" s="85"/>
    </row>
    <row r="43" spans="1:12" x14ac:dyDescent="0.3">
      <c r="A43" s="85"/>
      <c r="B43" s="95"/>
      <c r="C43" s="85"/>
      <c r="D43" s="94"/>
      <c r="E43" s="94"/>
      <c r="F43" s="94"/>
      <c r="G43" s="94"/>
      <c r="H43" s="94"/>
      <c r="I43" s="94"/>
      <c r="J43" s="94"/>
      <c r="K43" s="94"/>
      <c r="L43" s="85"/>
    </row>
    <row r="44" spans="1:12" x14ac:dyDescent="0.3">
      <c r="A44" s="85"/>
      <c r="B44" s="95"/>
      <c r="C44" s="85"/>
      <c r="D44" s="95"/>
      <c r="E44" s="95"/>
      <c r="F44" s="95"/>
      <c r="G44" s="95"/>
      <c r="H44" s="95"/>
      <c r="I44" s="94"/>
      <c r="J44" s="94"/>
      <c r="K44" s="94"/>
      <c r="L44" s="85"/>
    </row>
    <row r="45" spans="1:12" x14ac:dyDescent="0.3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</row>
    <row r="46" spans="1:12" x14ac:dyDescent="0.3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</row>
    <row r="47" spans="1:12" x14ac:dyDescent="0.3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</row>
  </sheetData>
  <mergeCells count="9">
    <mergeCell ref="B10:C10"/>
    <mergeCell ref="B11:C11"/>
    <mergeCell ref="B12:C12"/>
    <mergeCell ref="B4:C4"/>
    <mergeCell ref="B5:C5"/>
    <mergeCell ref="B6:C6"/>
    <mergeCell ref="B7:C7"/>
    <mergeCell ref="B8:C8"/>
    <mergeCell ref="B9:C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Hoja1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2024-05-23T15:01:06Z</cp:lastPrinted>
  <dcterms:created xsi:type="dcterms:W3CDTF">2018-04-17T18:57:16Z</dcterms:created>
  <dcterms:modified xsi:type="dcterms:W3CDTF">2024-06-10T18:42:48Z</dcterms:modified>
</cp:coreProperties>
</file>