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0DC09028-18DE-442F-A435-728431CA2977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R66" i="1" l="1"/>
  <c r="R65" i="1"/>
  <c r="R64" i="1"/>
  <c r="R63" i="1"/>
  <c r="R62" i="1"/>
  <c r="R61" i="1"/>
  <c r="R60" i="1"/>
  <c r="R59" i="1"/>
  <c r="R58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39" i="1"/>
  <c r="R38" i="1"/>
  <c r="R36" i="1"/>
  <c r="R35" i="1"/>
  <c r="R33" i="1"/>
  <c r="R30" i="1"/>
  <c r="R27" i="1"/>
  <c r="R26" i="1"/>
  <c r="R25" i="1"/>
  <c r="R24" i="1"/>
  <c r="R23" i="1"/>
  <c r="R19" i="1"/>
  <c r="R18" i="1"/>
  <c r="Q67" i="1"/>
  <c r="Q57" i="1"/>
  <c r="Q31" i="1"/>
  <c r="Q21" i="1"/>
  <c r="Q15" i="1"/>
  <c r="P29" i="1"/>
  <c r="P67" i="1"/>
  <c r="P57" i="1"/>
  <c r="P31" i="1"/>
  <c r="P21" i="1"/>
  <c r="P15" i="1"/>
  <c r="Q91" i="1" l="1"/>
  <c r="Q14" i="1"/>
  <c r="P91" i="1"/>
  <c r="P14" i="1"/>
  <c r="I29" i="1"/>
  <c r="H29" i="1"/>
  <c r="N29" i="1" l="1"/>
  <c r="N21" i="1" s="1"/>
  <c r="M29" i="1"/>
  <c r="M21" i="1" s="1"/>
  <c r="O21" i="1"/>
  <c r="O67" i="1"/>
  <c r="O57" i="1"/>
  <c r="N57" i="1"/>
  <c r="O31" i="1"/>
  <c r="O15" i="1"/>
  <c r="N16" i="1"/>
  <c r="N15" i="1" s="1"/>
  <c r="L57" i="1"/>
  <c r="L31" i="1"/>
  <c r="L15" i="1"/>
  <c r="J29" i="1"/>
  <c r="J21" i="1" s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N67" i="1"/>
  <c r="N31" i="1"/>
  <c r="M67" i="1"/>
  <c r="M57" i="1"/>
  <c r="M31" i="1"/>
  <c r="M15" i="1"/>
  <c r="L69" i="1"/>
  <c r="L67" i="1" s="1"/>
  <c r="K57" i="1"/>
  <c r="B102" i="1"/>
  <c r="B101" i="1"/>
  <c r="B100" i="1"/>
  <c r="K32" i="1"/>
  <c r="R32" i="1" s="1"/>
  <c r="K17" i="1"/>
  <c r="R17" i="1" s="1"/>
  <c r="K67" i="1"/>
  <c r="K21" i="1"/>
  <c r="J57" i="1"/>
  <c r="I57" i="1"/>
  <c r="J67" i="1"/>
  <c r="J31" i="1"/>
  <c r="J15" i="1"/>
  <c r="I40" i="1"/>
  <c r="R40" i="1" s="1"/>
  <c r="H34" i="1"/>
  <c r="G34" i="1"/>
  <c r="G21" i="1"/>
  <c r="R29" i="1" l="1"/>
  <c r="R57" i="1"/>
  <c r="R34" i="1"/>
  <c r="K15" i="1"/>
  <c r="N91" i="1"/>
  <c r="L21" i="1"/>
  <c r="L14" i="1" s="1"/>
  <c r="N14" i="1"/>
  <c r="O14" i="1"/>
  <c r="O91" i="1"/>
  <c r="J14" i="1"/>
  <c r="M91" i="1"/>
  <c r="M14" i="1"/>
  <c r="K31" i="1"/>
  <c r="K91" i="1" s="1"/>
  <c r="J91" i="1"/>
  <c r="I31" i="1"/>
  <c r="I15" i="1"/>
  <c r="I69" i="1"/>
  <c r="R69" i="1" s="1"/>
  <c r="I28" i="1"/>
  <c r="R28" i="1" s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C69" i="1"/>
  <c r="E69" i="1" s="1"/>
  <c r="H68" i="1"/>
  <c r="R68" i="1" s="1"/>
  <c r="E68" i="1"/>
  <c r="D67" i="1"/>
  <c r="D91" i="1" s="1"/>
  <c r="E66" i="1"/>
  <c r="E65" i="1"/>
  <c r="E64" i="1"/>
  <c r="E63" i="1"/>
  <c r="E62" i="1"/>
  <c r="E61" i="1"/>
  <c r="E60" i="1"/>
  <c r="E59" i="1"/>
  <c r="E58" i="1"/>
  <c r="C57" i="1"/>
  <c r="E57" i="1" s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G37" i="1"/>
  <c r="R37" i="1" s="1"/>
  <c r="E37" i="1"/>
  <c r="E36" i="1"/>
  <c r="E35" i="1"/>
  <c r="C34" i="1"/>
  <c r="E34" i="1" s="1"/>
  <c r="E33" i="1"/>
  <c r="E32" i="1"/>
  <c r="H31" i="1"/>
  <c r="F31" i="1"/>
  <c r="E30" i="1"/>
  <c r="E29" i="1"/>
  <c r="E28" i="1"/>
  <c r="E27" i="1"/>
  <c r="E26" i="1"/>
  <c r="E25" i="1"/>
  <c r="E24" i="1"/>
  <c r="E23" i="1"/>
  <c r="F22" i="1"/>
  <c r="R22" i="1" s="1"/>
  <c r="E22" i="1"/>
  <c r="C21" i="1"/>
  <c r="E21" i="1" s="1"/>
  <c r="G20" i="1"/>
  <c r="F20" i="1"/>
  <c r="E20" i="1"/>
  <c r="E19" i="1"/>
  <c r="E18" i="1"/>
  <c r="E17" i="1"/>
  <c r="G16" i="1"/>
  <c r="F16" i="1"/>
  <c r="R16" i="1" s="1"/>
  <c r="E16" i="1"/>
  <c r="H15" i="1"/>
  <c r="C15" i="1"/>
  <c r="R20" i="1" l="1"/>
  <c r="K14" i="1"/>
  <c r="L91" i="1"/>
  <c r="L92" i="1" s="1"/>
  <c r="I67" i="1"/>
  <c r="F21" i="1"/>
  <c r="H21" i="1"/>
  <c r="I21" i="1"/>
  <c r="F15" i="1"/>
  <c r="H67" i="1"/>
  <c r="G15" i="1"/>
  <c r="G67" i="1"/>
  <c r="C67" i="1"/>
  <c r="E67" i="1" s="1"/>
  <c r="C31" i="1"/>
  <c r="E31" i="1" s="1"/>
  <c r="E15" i="1"/>
  <c r="G31" i="1"/>
  <c r="R31" i="1" s="1"/>
  <c r="D14" i="1"/>
  <c r="R67" i="1" l="1"/>
  <c r="R21" i="1"/>
  <c r="R15" i="1"/>
  <c r="G14" i="1"/>
  <c r="H14" i="1"/>
  <c r="I14" i="1"/>
  <c r="F14" i="1"/>
  <c r="R14" i="1" s="1"/>
  <c r="H91" i="1"/>
  <c r="I91" i="1"/>
  <c r="F91" i="1"/>
  <c r="G91" i="1"/>
  <c r="C91" i="1"/>
  <c r="C14" i="1"/>
  <c r="E14" i="1" s="1"/>
  <c r="R91" i="1" l="1"/>
  <c r="E9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<sst xmlns="http://schemas.openxmlformats.org/spreadsheetml/2006/main" count="116" uniqueCount="115">
  <si>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</si>
  <si>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</si>
  <si>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</si>
  <si>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</si>
  <si>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</si>
  <si>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</si>
  <si>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</si>
  <si>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</si>
  <si>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</si>
  <si>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</si>
  <si>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</si>
  <si>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</si>
  <si>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</si>
  <si>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</si>
  <si>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</si>
  <si>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</si>
  <si>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</si>
  <si>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</si>
  <si>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</si>
  <si>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</si>
  <si>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</si>
  <si>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</si>
  <si>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</si>
  <si>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</si>
  <si>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</si>
  <si>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</si>
  <si>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</si>
  <si>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</si>
  <si>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</si>
  <si>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</si>
  <si>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</si>
  <si>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</si>
  <si>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</si>
  <si>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</si>
  <si>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</si>
  <si>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</si>
  <si>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</si>
  <si>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</si>
  <si>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</si>
  <si>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</si>
  <si>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</si>
  <si>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</si>
  <si>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</si>
  <si>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</si>
  <si>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</si>
  <si>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</si>
  <si>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</si>
  <si>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</si>
  <si>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</si>
  <si>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</si>
  <si>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</si>
  <si>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</si>
  <si>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</si>
  <si>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</si>
  <si>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</si>
  <si>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</si>
  <si>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</si>
  <si>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</si>
  <si>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</si>
  <si>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</si>
  <si>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</si>
  <si>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</si>
  <si>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</si>
  <si>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</si>
  <si>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</si>
  <si>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</si>
  <si>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</si>
  <si>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</si>
  <si>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</si>
  <si>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</si>
  <si>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</si>
  <si>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</si>
  <si>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</si>
  <si>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</si>
  <si>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</si>
  <si>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</si>
  <si>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</si>
  <si>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</si>
  <si>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</si>
  <si>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</si>
  <si>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</si>
  <si>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</si>
  <si>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</si>
  <si>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</si>
  <si>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</si>
  <si>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</si>
  <si>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</si>
  <si>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</si>
  <si>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</si>
  <si>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</si>
  <si>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</si>
  <si>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</si>
  <si>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</si>
  <si>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</si>
  <si>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</si>
  <si>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</si>
  <si>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</si>
  <si>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</si>
  <si>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</si>
  <si>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</si>
  <si>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</si>
  <si>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</si>
  <si>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</si>
  <si>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</si>
  <si>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</si>
  <si>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</si>
  <si>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</si>
  <si>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</si>
  <si>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</si>
  <si>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</si>
  <si>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</si>
  <si>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</si>
  <si>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</si>
  <si>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MARINA CASTILLO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</si>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</sst>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2" fillId="0" borderId="1" xfId="0" applyFont="1" applyBorder="1"/>
    <xf numFmtId="0" fontId="3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0" xfId="1" applyFont="1" applyBorder="1"/>
    <xf numFmtId="0" fontId="2" fillId="0" borderId="5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43" fontId="5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left" vertical="center" wrapText="1"/>
    </xf>
    <xf numFmtId="43" fontId="2" fillId="3" borderId="10" xfId="1" applyFont="1" applyFill="1" applyBorder="1"/>
    <xf numFmtId="43" fontId="2" fillId="3" borderId="11" xfId="1" applyFont="1" applyFill="1" applyBorder="1"/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43" fontId="2" fillId="0" borderId="10" xfId="1" applyFont="1" applyBorder="1"/>
    <xf numFmtId="43" fontId="2" fillId="0" borderId="9" xfId="1" applyFont="1" applyBorder="1"/>
    <xf numFmtId="43" fontId="2" fillId="4" borderId="11" xfId="1" applyFont="1" applyFill="1" applyBorder="1"/>
    <xf numFmtId="43" fontId="4" fillId="4" borderId="0" xfId="1" applyFont="1" applyFill="1" applyBorder="1"/>
    <xf numFmtId="43" fontId="2" fillId="3" borderId="9" xfId="1" applyFont="1" applyFill="1" applyBorder="1"/>
    <xf numFmtId="164" fontId="2" fillId="0" borderId="0" xfId="0" applyNumberFormat="1" applyFont="1"/>
    <xf numFmtId="43" fontId="3" fillId="3" borderId="9" xfId="1" applyFont="1" applyFill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" fontId="6" fillId="0" borderId="9" xfId="0" applyNumberFormat="1" applyFont="1" applyBorder="1" applyAlignment="1">
      <alignment vertical="top" shrinkToFit="1"/>
    </xf>
    <xf numFmtId="43" fontId="4" fillId="4" borderId="11" xfId="1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43" fontId="2" fillId="0" borderId="5" xfId="1" applyFont="1" applyBorder="1"/>
    <xf numFmtId="43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2" fillId="4" borderId="11" xfId="1" applyFont="1" applyFill="1" applyBorder="1" applyAlignment="1">
      <alignment horizontal="center"/>
    </xf>
    <xf numFmtId="43" fontId="2" fillId="0" borderId="9" xfId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/>
    <xf numFmtId="43" fontId="2" fillId="4" borderId="9" xfId="1" applyFont="1" applyFill="1" applyBorder="1"/>
    <xf numFmtId="43" fontId="5" fillId="4" borderId="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3" fontId="4" fillId="0" borderId="0" xfId="1" applyFont="1" applyBorder="1" applyAlignment="1"/>
    <xf numFmtId="0" fontId="2" fillId="0" borderId="12" xfId="0" applyFont="1" applyBorder="1"/>
    <xf numFmtId="43" fontId="2" fillId="0" borderId="6" xfId="1" applyFont="1" applyBorder="1"/>
    <xf numFmtId="0" fontId="2" fillId="0" borderId="7" xfId="0" applyFont="1" applyBorder="1"/>
    <xf numFmtId="0" fontId="3" fillId="0" borderId="6" xfId="0" applyFont="1" applyBorder="1"/>
    <xf numFmtId="0" fontId="2" fillId="0" borderId="13" xfId="0" applyFont="1" applyBorder="1"/>
    <xf numFmtId="0" fontId="3" fillId="0" borderId="14" xfId="0" applyFont="1" applyBorder="1"/>
    <xf numFmtId="43" fontId="2" fillId="0" borderId="14" xfId="1" applyFont="1" applyBorder="1"/>
    <xf numFmtId="0" fontId="2" fillId="0" borderId="15" xfId="0" applyFont="1" applyBorder="1"/>
    <xf numFmtId="0" fontId="7" fillId="0" borderId="4" xfId="0" applyFont="1" applyBorder="1"/>
    <xf numFmtId="0" fontId="7" fillId="0" borderId="13" xfId="0" applyFont="1" applyBorder="1"/>
    <xf numFmtId="9" fontId="2" fillId="0" borderId="5" xfId="2" applyFont="1" applyBorder="1" applyAlignment="1">
      <alignment horizontal="center"/>
    </xf>
    <xf numFmtId="43" fontId="5" fillId="4" borderId="10" xfId="1" applyFont="1" applyFill="1" applyBorder="1" applyAlignment="1">
      <alignment horizontal="left" vertical="center" wrapText="1"/>
    </xf>
    <xf numFmtId="4" fontId="0" fillId="0" borderId="5" xfId="0" applyNumberFormat="1" applyBorder="1"/>
    <xf numFmtId="43" fontId="3" fillId="0" borderId="0" xfId="1" applyFont="1"/>
    <xf numFmtId="43" fontId="9" fillId="0" borderId="9" xfId="1" applyFont="1" applyBorder="1" applyAlignment="1">
      <alignment horizontal="left" vertical="top"/>
    </xf>
    <xf numFmtId="43" fontId="4" fillId="3" borderId="9" xfId="1" applyFont="1" applyFill="1" applyBorder="1"/>
    <xf numFmtId="43" fontId="4" fillId="3" borderId="10" xfId="1" applyFont="1" applyFill="1" applyBorder="1"/>
    <xf numFmtId="0" fontId="4" fillId="4" borderId="0" xfId="0" applyFont="1" applyFill="1"/>
    <xf numFmtId="0" fontId="4" fillId="0" borderId="0" xfId="0" applyFont="1"/>
    <xf numFmtId="43" fontId="9" fillId="0" borderId="10" xfId="1" applyFont="1" applyBorder="1" applyAlignment="1">
      <alignment horizontal="left" vertical="top"/>
    </xf>
    <xf numFmtId="43" fontId="2" fillId="0" borderId="5" xfId="1" applyFont="1" applyBorder="1" applyAlignment="1">
      <alignment horizontal="center"/>
    </xf>
    <xf numFmtId="4" fontId="0" fillId="0" borderId="0" xfId="0" applyNumberFormat="1"/>
    <xf numFmtId="164" fontId="3" fillId="0" borderId="0" xfId="0" applyNumberFormat="1" applyFont="1"/>
    <xf numFmtId="43" fontId="3" fillId="0" borderId="0" xfId="0" applyNumberFormat="1" applyFo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3" fontId="10" fillId="0" borderId="5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T121"/>
  <sheetViews>
    <sheetView tabSelected="1" topLeftCell="A69" zoomScale="85" zoomScaleNormal="85" workbookViewId="0">
      <selection activeCell="B2" sqref="B2:R112"/>
    </sheetView>
  </sheetViews>
  <sheetFormatPr baseColWidth="10" defaultColWidth="9.109375" defaultRowHeight="13.8" x14ac:dyDescent="0.3"/>
  <cols>
    <col min="1" max="1" width="9.109375" style="1"/>
    <col min="2" max="2" width="77.5546875" style="1" customWidth="1"/>
    <col min="3" max="3" width="15.6640625" style="2" bestFit="1" customWidth="1"/>
    <col min="4" max="4" width="14.21875" style="2" customWidth="1"/>
    <col min="5" max="5" width="15.6640625" style="2" customWidth="1"/>
    <col min="6" max="6" width="13.44140625" style="3" customWidth="1"/>
    <col min="7" max="12" width="14.21875" style="3" customWidth="1"/>
    <col min="13" max="13" width="14.77734375" style="3" customWidth="1"/>
    <col min="14" max="14" width="14.21875" style="3" customWidth="1"/>
    <col min="15" max="17" width="14.77734375" style="3" customWidth="1"/>
    <col min="18" max="18" width="16.44140625" style="1" bestFit="1" customWidth="1"/>
    <col min="19" max="19" width="13.5546875" style="1" bestFit="1" customWidth="1"/>
    <col min="20" max="20" width="14.44140625" style="1" bestFit="1" customWidth="1"/>
    <col min="21" max="21" width="13.44140625" style="1" bestFit="1" customWidth="1"/>
    <col min="22" max="16384" width="9.109375" style="1"/>
  </cols>
  <sheetData>
    <row r="1" spans="2:20" ht="14.4" thickBot="1" x14ac:dyDescent="0.35"/>
    <row r="2" spans="2:20" ht="4.2" customHeight="1" x14ac:dyDescent="0.3"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20" ht="58.2" customHeight="1" x14ac:dyDescent="0.3">
      <c r="B3" s="8" t="e" vm="1">
        <v>#VALUE!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2:20" ht="10.8" hidden="1" customHeight="1" x14ac:dyDescent="0.3">
      <c r="B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2:20" ht="3.6" hidden="1" customHeight="1" x14ac:dyDescent="0.3">
      <c r="B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</row>
    <row r="6" spans="2:20" ht="3.6" customHeight="1" x14ac:dyDescent="0.3">
      <c r="B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2:20" ht="7.2" customHeight="1" x14ac:dyDescent="0.3">
      <c r="B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2:20" x14ac:dyDescent="0.3">
      <c r="B8" s="84" t="s">
        <v>0</v>
      </c>
      <c r="C8" s="8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2:20" x14ac:dyDescent="0.3">
      <c r="B9" s="84" t="s">
        <v>1</v>
      </c>
      <c r="C9" s="8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2:20" x14ac:dyDescent="0.3">
      <c r="B10" s="84" t="s">
        <v>2</v>
      </c>
      <c r="C10" s="8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0"/>
    </row>
    <row r="11" spans="2:20" ht="14.4" x14ac:dyDescent="0.3">
      <c r="B11" s="84" t="s">
        <v>3</v>
      </c>
      <c r="C11" s="85"/>
      <c r="D11" s="78"/>
      <c r="F11" s="77"/>
      <c r="G11" s="9"/>
      <c r="H11" s="77"/>
      <c r="I11" s="77"/>
      <c r="J11" s="9"/>
      <c r="K11" s="9"/>
      <c r="L11" s="9"/>
      <c r="M11" s="9"/>
      <c r="N11" s="9"/>
      <c r="O11" s="9"/>
      <c r="P11" s="9"/>
      <c r="Q11" s="9"/>
      <c r="R11" s="10"/>
    </row>
    <row r="12" spans="2:20" x14ac:dyDescent="0.3">
      <c r="B12" s="86" t="s">
        <v>4</v>
      </c>
      <c r="C12" s="87"/>
      <c r="D12" s="79"/>
      <c r="F12" s="88" t="s">
        <v>5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9"/>
    </row>
    <row r="13" spans="2:20" ht="26.4" x14ac:dyDescent="0.3">
      <c r="B13" s="54" t="s">
        <v>6</v>
      </c>
      <c r="C13" s="11" t="s">
        <v>7</v>
      </c>
      <c r="D13" s="11" t="s">
        <v>8</v>
      </c>
      <c r="E13" s="11" t="s">
        <v>9</v>
      </c>
      <c r="F13" s="46" t="s">
        <v>10</v>
      </c>
      <c r="G13" s="46" t="s">
        <v>11</v>
      </c>
      <c r="H13" s="46" t="s">
        <v>12</v>
      </c>
      <c r="I13" s="46" t="s">
        <v>105</v>
      </c>
      <c r="J13" s="46" t="s">
        <v>106</v>
      </c>
      <c r="K13" s="46" t="s">
        <v>107</v>
      </c>
      <c r="L13" s="46" t="s">
        <v>108</v>
      </c>
      <c r="M13" s="46" t="s">
        <v>109</v>
      </c>
      <c r="N13" s="46" t="s">
        <v>110</v>
      </c>
      <c r="O13" s="46" t="s">
        <v>111</v>
      </c>
      <c r="P13" s="46" t="s">
        <v>112</v>
      </c>
      <c r="Q13" s="46" t="s">
        <v>114</v>
      </c>
      <c r="R13" s="47" t="s">
        <v>13</v>
      </c>
      <c r="S13" s="12"/>
      <c r="T13" s="3"/>
    </row>
    <row r="14" spans="2:20" x14ac:dyDescent="0.3">
      <c r="B14" s="13" t="s">
        <v>14</v>
      </c>
      <c r="C14" s="14">
        <f>+C15+C21+C31+C57+C67</f>
        <v>1524269892</v>
      </c>
      <c r="D14" s="14">
        <f>+D15+D21+D31+D57+D67</f>
        <v>0</v>
      </c>
      <c r="E14" s="14">
        <f t="shared" ref="E14:E45" si="0">SUM(C14:D14)</f>
        <v>1524269892</v>
      </c>
      <c r="F14" s="14">
        <f t="shared" ref="F14:O14" si="1">+F15+F21+F31+F41+F67+F49+F57</f>
        <v>10426521.590000002</v>
      </c>
      <c r="G14" s="14">
        <f t="shared" si="1"/>
        <v>106457276.86000001</v>
      </c>
      <c r="H14" s="14">
        <f t="shared" si="1"/>
        <v>132717195.53999999</v>
      </c>
      <c r="I14" s="14">
        <f t="shared" si="1"/>
        <v>58834171.720000014</v>
      </c>
      <c r="J14" s="14">
        <f t="shared" si="1"/>
        <v>33208648.259999998</v>
      </c>
      <c r="K14" s="14">
        <f t="shared" si="1"/>
        <v>51373478.169999994</v>
      </c>
      <c r="L14" s="14">
        <f t="shared" si="1"/>
        <v>97298952.770000011</v>
      </c>
      <c r="M14" s="14">
        <f t="shared" si="1"/>
        <v>143044149.49000001</v>
      </c>
      <c r="N14" s="14">
        <f t="shared" si="1"/>
        <v>37129067.060000002</v>
      </c>
      <c r="O14" s="14">
        <f t="shared" si="1"/>
        <v>169195388.03999999</v>
      </c>
      <c r="P14" s="14">
        <f t="shared" ref="P14:Q14" si="2">+P15+P21+P31+P41+P67+P49+P57</f>
        <v>159000759.75</v>
      </c>
      <c r="Q14" s="14">
        <f t="shared" si="2"/>
        <v>274483842.85000002</v>
      </c>
      <c r="R14" s="48">
        <f>SUM(F14:Q14)</f>
        <v>1273169452.0999999</v>
      </c>
      <c r="S14" s="15"/>
      <c r="T14" s="3"/>
    </row>
    <row r="15" spans="2:20" x14ac:dyDescent="0.3">
      <c r="B15" s="16" t="s">
        <v>15</v>
      </c>
      <c r="C15" s="17">
        <f>+C16+C17+C18+C19+C20</f>
        <v>177587324</v>
      </c>
      <c r="D15" s="17"/>
      <c r="E15" s="18">
        <f t="shared" si="0"/>
        <v>177587324</v>
      </c>
      <c r="F15" s="19">
        <f t="shared" ref="F15:M15" si="3">+F16+F17+F18+F19+F20</f>
        <v>9001586.7000000011</v>
      </c>
      <c r="G15" s="19">
        <f t="shared" si="3"/>
        <v>9859149.8900000006</v>
      </c>
      <c r="H15" s="19">
        <f t="shared" si="3"/>
        <v>10936638.030000001</v>
      </c>
      <c r="I15" s="19">
        <f t="shared" si="3"/>
        <v>11517377.66</v>
      </c>
      <c r="J15" s="19">
        <f t="shared" si="3"/>
        <v>10265640.620000001</v>
      </c>
      <c r="K15" s="19">
        <f t="shared" si="3"/>
        <v>16861575.57</v>
      </c>
      <c r="L15" s="19">
        <f>+L16+L17+L18+L19+L20</f>
        <v>11864175.02</v>
      </c>
      <c r="M15" s="19">
        <f t="shared" si="3"/>
        <v>10482658.58</v>
      </c>
      <c r="N15" s="19">
        <f t="shared" ref="N15:O15" si="4">+N16+N17+N18+N19+N20</f>
        <v>9550118.5399999991</v>
      </c>
      <c r="O15" s="19">
        <f t="shared" si="4"/>
        <v>9356183.8499999996</v>
      </c>
      <c r="P15" s="19">
        <f t="shared" ref="P15:Q15" si="5">+P16+P17+P18+P19+P20</f>
        <v>18130535.969999999</v>
      </c>
      <c r="Q15" s="19">
        <f t="shared" si="5"/>
        <v>25707195.580000002</v>
      </c>
      <c r="R15" s="20">
        <f>SUM(F15:Q15)</f>
        <v>153532836.00999999</v>
      </c>
      <c r="S15" s="21"/>
      <c r="T15" s="3">
        <v>1500000</v>
      </c>
    </row>
    <row r="16" spans="2:20" x14ac:dyDescent="0.3">
      <c r="B16" s="23" t="s">
        <v>16</v>
      </c>
      <c r="C16" s="24">
        <v>137207368</v>
      </c>
      <c r="D16" s="24"/>
      <c r="E16" s="18">
        <f t="shared" si="0"/>
        <v>137207368</v>
      </c>
      <c r="F16" s="25">
        <f>7641348+80.98</f>
        <v>7641428.9800000004</v>
      </c>
      <c r="G16" s="26">
        <f>3145303+5181045+58747</f>
        <v>8385095</v>
      </c>
      <c r="H16" s="25">
        <v>9485876.6300000008</v>
      </c>
      <c r="I16" s="25">
        <v>9844598.9600000009</v>
      </c>
      <c r="J16" s="25">
        <v>8734142</v>
      </c>
      <c r="K16" s="25">
        <v>8640395</v>
      </c>
      <c r="L16" s="25">
        <v>10272501.6</v>
      </c>
      <c r="M16" s="25">
        <v>8790395</v>
      </c>
      <c r="N16" s="70">
        <f>8090395</f>
        <v>8090395</v>
      </c>
      <c r="O16" s="75">
        <v>7937377</v>
      </c>
      <c r="P16" s="75">
        <v>9175395</v>
      </c>
      <c r="Q16" s="75">
        <v>16701261.08</v>
      </c>
      <c r="R16" s="48">
        <f t="shared" ref="R16:R69" si="6">SUM(F16:Q16)</f>
        <v>113698861.25</v>
      </c>
      <c r="S16" s="21"/>
      <c r="T16" s="3">
        <v>64</v>
      </c>
    </row>
    <row r="17" spans="2:20" x14ac:dyDescent="0.3">
      <c r="B17" s="23" t="s">
        <v>17</v>
      </c>
      <c r="C17" s="24">
        <v>23134214</v>
      </c>
      <c r="D17" s="24"/>
      <c r="E17" s="18">
        <f t="shared" si="0"/>
        <v>23134214</v>
      </c>
      <c r="F17" s="25">
        <v>212500</v>
      </c>
      <c r="G17" s="26">
        <v>212500</v>
      </c>
      <c r="H17" s="25">
        <v>212500</v>
      </c>
      <c r="I17" s="25">
        <v>212500</v>
      </c>
      <c r="J17" s="25">
        <v>212500</v>
      </c>
      <c r="K17" s="25">
        <f>212500+6702783.34</f>
        <v>6915283.3399999999</v>
      </c>
      <c r="L17" s="25">
        <v>237000</v>
      </c>
      <c r="M17" s="25">
        <v>347500</v>
      </c>
      <c r="N17" s="25">
        <v>237500</v>
      </c>
      <c r="O17" s="25">
        <v>237500</v>
      </c>
      <c r="P17" s="25">
        <v>7565958.3099999996</v>
      </c>
      <c r="Q17" s="25">
        <v>7736778.3399999999</v>
      </c>
      <c r="R17" s="48">
        <f t="shared" si="6"/>
        <v>24340019.989999998</v>
      </c>
      <c r="S17" s="21"/>
      <c r="T17" s="3">
        <f>+T15*T16</f>
        <v>96000000</v>
      </c>
    </row>
    <row r="18" spans="2:20" x14ac:dyDescent="0.3">
      <c r="B18" s="23" t="s">
        <v>18</v>
      </c>
      <c r="C18" s="24"/>
      <c r="D18" s="24"/>
      <c r="E18" s="18">
        <f t="shared" si="0"/>
        <v>0</v>
      </c>
      <c r="F18" s="25"/>
      <c r="G18" s="26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48">
        <f t="shared" si="6"/>
        <v>0</v>
      </c>
      <c r="S18" s="28"/>
    </row>
    <row r="19" spans="2:20" x14ac:dyDescent="0.3">
      <c r="B19" s="23" t="s">
        <v>19</v>
      </c>
      <c r="C19" s="24"/>
      <c r="D19" s="24"/>
      <c r="E19" s="18">
        <f t="shared" si="0"/>
        <v>0</v>
      </c>
      <c r="F19" s="25"/>
      <c r="G19" s="26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48">
        <f t="shared" si="6"/>
        <v>0</v>
      </c>
      <c r="S19" s="28"/>
    </row>
    <row r="20" spans="2:20" x14ac:dyDescent="0.3">
      <c r="B20" s="23" t="s">
        <v>20</v>
      </c>
      <c r="C20" s="24">
        <v>17245742</v>
      </c>
      <c r="D20" s="24"/>
      <c r="E20" s="18">
        <f t="shared" si="0"/>
        <v>17245742</v>
      </c>
      <c r="F20" s="25">
        <f>538122+542535.72+67000</f>
        <v>1147657.72</v>
      </c>
      <c r="G20" s="26">
        <f>590853.66+595341.76+75359.47</f>
        <v>1261554.8899999999</v>
      </c>
      <c r="H20" s="25">
        <v>1238261.3999999999</v>
      </c>
      <c r="I20" s="25">
        <v>1460278.7</v>
      </c>
      <c r="J20" s="25">
        <v>1318998.6200000001</v>
      </c>
      <c r="K20" s="25">
        <v>1305897.23</v>
      </c>
      <c r="L20" s="25">
        <v>1354673.42</v>
      </c>
      <c r="M20" s="25">
        <v>1344763.58</v>
      </c>
      <c r="N20" s="25">
        <v>1222223.54</v>
      </c>
      <c r="O20" s="25">
        <v>1181306.8500000001</v>
      </c>
      <c r="P20" s="25">
        <v>1389182.66</v>
      </c>
      <c r="Q20" s="25">
        <v>1269156.1599999999</v>
      </c>
      <c r="R20" s="48">
        <f t="shared" si="6"/>
        <v>15493954.770000001</v>
      </c>
      <c r="S20" s="12"/>
    </row>
    <row r="21" spans="2:20" x14ac:dyDescent="0.3">
      <c r="B21" s="16" t="s">
        <v>21</v>
      </c>
      <c r="C21" s="17">
        <f>+C22+C23+C24+C25+C26+C27+C28+C29+C30</f>
        <v>71707080</v>
      </c>
      <c r="D21" s="17"/>
      <c r="E21" s="18">
        <f t="shared" si="0"/>
        <v>71707080</v>
      </c>
      <c r="F21" s="19">
        <f t="shared" ref="F21:O21" si="7">+F22+F23+F24+F25+F26+F27+F28+F29+F30</f>
        <v>1240034.6499999999</v>
      </c>
      <c r="G21" s="19">
        <f t="shared" si="7"/>
        <v>1940455.5</v>
      </c>
      <c r="H21" s="19">
        <f t="shared" si="7"/>
        <v>40979822.469999999</v>
      </c>
      <c r="I21" s="19">
        <f t="shared" si="7"/>
        <v>5261479.45</v>
      </c>
      <c r="J21" s="19">
        <f t="shared" si="7"/>
        <v>14773004.810000001</v>
      </c>
      <c r="K21" s="19">
        <f t="shared" si="7"/>
        <v>1334352.7599999998</v>
      </c>
      <c r="L21" s="19">
        <f t="shared" si="7"/>
        <v>22764115.669999994</v>
      </c>
      <c r="M21" s="19">
        <f t="shared" si="7"/>
        <v>19867695.290000003</v>
      </c>
      <c r="N21" s="19">
        <f t="shared" si="7"/>
        <v>2809941.04</v>
      </c>
      <c r="O21" s="19">
        <f t="shared" si="7"/>
        <v>22964207.860000003</v>
      </c>
      <c r="P21" s="19">
        <f t="shared" ref="P21:Q21" si="8">+P22+P23+P24+P25+P26+P27+P28+P29+P30</f>
        <v>18964097.66</v>
      </c>
      <c r="Q21" s="19">
        <f t="shared" si="8"/>
        <v>33858089.020000003</v>
      </c>
      <c r="R21" s="20">
        <f>SUM(F21:Q21)</f>
        <v>186757296.18000004</v>
      </c>
      <c r="S21" s="15"/>
    </row>
    <row r="22" spans="2:20" x14ac:dyDescent="0.3">
      <c r="B22" s="23" t="s">
        <v>22</v>
      </c>
      <c r="C22" s="24">
        <v>8710000</v>
      </c>
      <c r="D22" s="24"/>
      <c r="E22" s="18">
        <f t="shared" si="0"/>
        <v>8710000</v>
      </c>
      <c r="F22" s="25">
        <f>1095978.17+91312.54+46143.94</f>
        <v>1233434.6499999999</v>
      </c>
      <c r="G22" s="26">
        <v>53074.84</v>
      </c>
      <c r="H22" s="25">
        <v>1188576.08</v>
      </c>
      <c r="I22" s="25">
        <v>739012.24</v>
      </c>
      <c r="J22" s="25">
        <v>551575.87</v>
      </c>
      <c r="K22" s="25">
        <v>156088.84</v>
      </c>
      <c r="L22" s="25">
        <v>1186558.46</v>
      </c>
      <c r="M22" s="25">
        <v>674959.56</v>
      </c>
      <c r="N22" s="25">
        <v>96210.65</v>
      </c>
      <c r="O22" s="25">
        <v>640199.78</v>
      </c>
      <c r="P22" s="25">
        <v>928995.38</v>
      </c>
      <c r="Q22" s="25">
        <v>345520.3</v>
      </c>
      <c r="R22" s="48">
        <f t="shared" si="6"/>
        <v>7794206.6500000013</v>
      </c>
      <c r="S22" s="22"/>
    </row>
    <row r="23" spans="2:20" x14ac:dyDescent="0.3">
      <c r="B23" s="23" t="s">
        <v>23</v>
      </c>
      <c r="C23" s="24">
        <v>1500000</v>
      </c>
      <c r="D23" s="24"/>
      <c r="E23" s="18">
        <f t="shared" si="0"/>
        <v>1500000</v>
      </c>
      <c r="F23" s="25"/>
      <c r="G23" s="26"/>
      <c r="H23" s="25"/>
      <c r="I23" s="25"/>
      <c r="J23" s="25">
        <v>11564</v>
      </c>
      <c r="K23" s="25">
        <v>590000</v>
      </c>
      <c r="L23" s="25">
        <v>0</v>
      </c>
      <c r="M23" s="25"/>
      <c r="N23" s="25"/>
      <c r="O23" s="25">
        <v>157122.9</v>
      </c>
      <c r="P23" s="25">
        <v>0</v>
      </c>
      <c r="Q23" s="25">
        <v>295000</v>
      </c>
      <c r="R23" s="48">
        <f t="shared" si="6"/>
        <v>1053686.8999999999</v>
      </c>
      <c r="S23" s="21"/>
    </row>
    <row r="24" spans="2:20" ht="18" customHeight="1" x14ac:dyDescent="0.3">
      <c r="B24" s="23" t="s">
        <v>24</v>
      </c>
      <c r="C24" s="24">
        <v>2500000</v>
      </c>
      <c r="D24" s="24"/>
      <c r="E24" s="18">
        <f t="shared" si="0"/>
        <v>2500000</v>
      </c>
      <c r="F24" s="25">
        <v>6600</v>
      </c>
      <c r="G24" s="26">
        <v>34350</v>
      </c>
      <c r="H24" s="25">
        <v>27050</v>
      </c>
      <c r="I24" s="25">
        <v>18800</v>
      </c>
      <c r="J24" s="25"/>
      <c r="K24" s="25"/>
      <c r="L24" s="25">
        <v>29900</v>
      </c>
      <c r="M24" s="25">
        <v>59050</v>
      </c>
      <c r="N24" s="25"/>
      <c r="O24" s="25">
        <v>207853</v>
      </c>
      <c r="P24" s="25">
        <v>157047.5</v>
      </c>
      <c r="Q24" s="25">
        <v>23117.5</v>
      </c>
      <c r="R24" s="48">
        <f t="shared" si="6"/>
        <v>563768</v>
      </c>
      <c r="S24" s="21"/>
    </row>
    <row r="25" spans="2:20" x14ac:dyDescent="0.3">
      <c r="B25" s="23" t="s">
        <v>25</v>
      </c>
      <c r="C25" s="24">
        <v>0</v>
      </c>
      <c r="D25" s="24"/>
      <c r="E25" s="18">
        <f t="shared" si="0"/>
        <v>0</v>
      </c>
      <c r="F25" s="25"/>
      <c r="G25" s="26"/>
      <c r="H25" s="25"/>
      <c r="I25" s="25">
        <v>118263.73</v>
      </c>
      <c r="J25" s="25"/>
      <c r="K25" s="25">
        <v>273764</v>
      </c>
      <c r="L25" s="25">
        <v>65740.08</v>
      </c>
      <c r="M25" s="25"/>
      <c r="N25" s="25"/>
      <c r="O25" s="25"/>
      <c r="P25" s="25">
        <v>148739.98000000001</v>
      </c>
      <c r="Q25" s="25">
        <v>1874198.27</v>
      </c>
      <c r="R25" s="48">
        <f t="shared" si="6"/>
        <v>2480706.06</v>
      </c>
      <c r="S25" s="21"/>
    </row>
    <row r="26" spans="2:20" x14ac:dyDescent="0.3">
      <c r="B26" s="23" t="s">
        <v>26</v>
      </c>
      <c r="C26" s="24">
        <v>18000000</v>
      </c>
      <c r="D26" s="24"/>
      <c r="E26" s="18">
        <f t="shared" si="0"/>
        <v>18000000</v>
      </c>
      <c r="F26" s="25"/>
      <c r="G26" s="26">
        <v>119280</v>
      </c>
      <c r="H26" s="25">
        <v>59640</v>
      </c>
      <c r="I26" s="25"/>
      <c r="J26" s="25"/>
      <c r="K26" s="25"/>
      <c r="L26" s="25">
        <v>238560</v>
      </c>
      <c r="M26" s="25">
        <v>2267097.06</v>
      </c>
      <c r="N26" s="25">
        <v>935709.46</v>
      </c>
      <c r="O26" s="25">
        <v>876069.46</v>
      </c>
      <c r="P26" s="25">
        <v>876069.46</v>
      </c>
      <c r="Q26" s="25">
        <v>12321445.630000001</v>
      </c>
      <c r="R26" s="48">
        <f t="shared" si="6"/>
        <v>17693871.07</v>
      </c>
      <c r="S26" s="28"/>
    </row>
    <row r="27" spans="2:20" x14ac:dyDescent="0.3">
      <c r="B27" s="23" t="s">
        <v>27</v>
      </c>
      <c r="C27" s="24">
        <v>3300000</v>
      </c>
      <c r="D27" s="24"/>
      <c r="E27" s="18">
        <f t="shared" si="0"/>
        <v>3300000</v>
      </c>
      <c r="F27" s="25"/>
      <c r="G27" s="26"/>
      <c r="H27" s="25"/>
      <c r="I27" s="25">
        <v>4345.38</v>
      </c>
      <c r="J27" s="25"/>
      <c r="K27" s="25"/>
      <c r="L27" s="25">
        <v>987237.31</v>
      </c>
      <c r="M27" s="25"/>
      <c r="N27" s="25"/>
      <c r="O27" s="25"/>
      <c r="P27" s="25">
        <v>2800</v>
      </c>
      <c r="Q27" s="25">
        <v>0</v>
      </c>
      <c r="R27" s="48">
        <f t="shared" si="6"/>
        <v>994382.69000000006</v>
      </c>
      <c r="S27" s="21"/>
    </row>
    <row r="28" spans="2:20" ht="27.6" x14ac:dyDescent="0.3">
      <c r="B28" s="23" t="s">
        <v>28</v>
      </c>
      <c r="C28" s="24">
        <v>23233080</v>
      </c>
      <c r="D28" s="24"/>
      <c r="E28" s="18">
        <f t="shared" si="0"/>
        <v>23233080</v>
      </c>
      <c r="F28" s="25">
        <v>0</v>
      </c>
      <c r="G28" s="49">
        <v>63117.72</v>
      </c>
      <c r="H28" s="50"/>
      <c r="I28" s="50">
        <f>100000+797382.1</f>
        <v>897382.1</v>
      </c>
      <c r="J28" s="50">
        <v>209085.36</v>
      </c>
      <c r="K28" s="50">
        <v>234900</v>
      </c>
      <c r="L28" s="50">
        <v>110000</v>
      </c>
      <c r="M28" s="50">
        <v>1379398.18</v>
      </c>
      <c r="N28" s="50">
        <v>236467.28</v>
      </c>
      <c r="O28" s="50">
        <v>128699.96</v>
      </c>
      <c r="P28" s="50">
        <v>0</v>
      </c>
      <c r="Q28" s="50">
        <v>9236898.8300000001</v>
      </c>
      <c r="R28" s="48">
        <f t="shared" si="6"/>
        <v>12495949.43</v>
      </c>
      <c r="S28" s="21"/>
    </row>
    <row r="29" spans="2:20" x14ac:dyDescent="0.3">
      <c r="B29" s="23" t="s">
        <v>29</v>
      </c>
      <c r="C29" s="24">
        <v>9514000</v>
      </c>
      <c r="D29" s="24"/>
      <c r="E29" s="18">
        <f t="shared" si="0"/>
        <v>9514000</v>
      </c>
      <c r="F29" s="25"/>
      <c r="G29" s="26">
        <v>1170632.97</v>
      </c>
      <c r="H29" s="25">
        <f>39691576.39+12980</f>
        <v>39704556.390000001</v>
      </c>
      <c r="I29" s="25">
        <f>3112640+300000</f>
        <v>3412640</v>
      </c>
      <c r="J29" s="25">
        <f>15400779.58-1400000</f>
        <v>14000779.58</v>
      </c>
      <c r="K29" s="25">
        <v>79599.92</v>
      </c>
      <c r="L29" s="25">
        <v>20146119.819999993</v>
      </c>
      <c r="M29" s="25">
        <f>1824970.93+18510794.35-4848574.79</f>
        <v>15487190.490000002</v>
      </c>
      <c r="N29" s="25">
        <f>1661654.59-120100.94</f>
        <v>1541553.6500000001</v>
      </c>
      <c r="O29" s="25">
        <v>20548289.66</v>
      </c>
      <c r="P29" s="25">
        <f>2533860+14131809.14</f>
        <v>16665669.140000001</v>
      </c>
      <c r="Q29" s="25">
        <v>9415944.2899999991</v>
      </c>
      <c r="R29" s="48">
        <f t="shared" si="6"/>
        <v>142172975.91</v>
      </c>
      <c r="S29" s="21"/>
    </row>
    <row r="30" spans="2:20" x14ac:dyDescent="0.3">
      <c r="B30" s="23" t="s">
        <v>30</v>
      </c>
      <c r="C30" s="24">
        <v>4950000</v>
      </c>
      <c r="D30" s="24"/>
      <c r="E30" s="18">
        <f t="shared" si="0"/>
        <v>4950000</v>
      </c>
      <c r="F30" s="25"/>
      <c r="G30" s="26">
        <v>499999.97</v>
      </c>
      <c r="H30" s="25"/>
      <c r="I30" s="25">
        <v>71036</v>
      </c>
      <c r="J30" s="25"/>
      <c r="K30" s="25"/>
      <c r="L30" s="25"/>
      <c r="M30" s="25">
        <v>0</v>
      </c>
      <c r="N30" s="25">
        <v>0</v>
      </c>
      <c r="O30" s="25">
        <v>405973.1</v>
      </c>
      <c r="P30" s="25">
        <v>184776.2</v>
      </c>
      <c r="Q30" s="25">
        <v>345964.2</v>
      </c>
      <c r="R30" s="48">
        <f t="shared" si="6"/>
        <v>1507749.47</v>
      </c>
      <c r="S30" s="21"/>
    </row>
    <row r="31" spans="2:20" x14ac:dyDescent="0.3">
      <c r="B31" s="16" t="s">
        <v>31</v>
      </c>
      <c r="C31" s="17">
        <f>+C32+C33+C34+C35+C36+C37+C38+C39+C40</f>
        <v>21816372</v>
      </c>
      <c r="D31" s="17"/>
      <c r="E31" s="18">
        <f t="shared" si="0"/>
        <v>21816372</v>
      </c>
      <c r="F31" s="71">
        <f>+F32+F33+F34+F35+F36+F37+F38+F39+F40</f>
        <v>184900.24</v>
      </c>
      <c r="G31" s="71">
        <f t="shared" ref="G31:I31" si="9">+G32+G33+G34+G35+G36+G37+G38+G39+G40</f>
        <v>513454.14999999997</v>
      </c>
      <c r="H31" s="71">
        <f t="shared" si="9"/>
        <v>373040.08999999997</v>
      </c>
      <c r="I31" s="71">
        <f t="shared" si="9"/>
        <v>1846152.34</v>
      </c>
      <c r="J31" s="71">
        <f t="shared" ref="J31:M31" si="10">+J32+J33+J34+J35+J36+J37+J38+J39+J40</f>
        <v>224740.18</v>
      </c>
      <c r="K31" s="71">
        <f t="shared" si="10"/>
        <v>2246732.33</v>
      </c>
      <c r="L31" s="71">
        <f>+L32+L33+L34+L35+L36+L37+L38+L39+L40</f>
        <v>1765097.8199999998</v>
      </c>
      <c r="M31" s="71">
        <f t="shared" si="10"/>
        <v>150195.07</v>
      </c>
      <c r="N31" s="71">
        <f t="shared" ref="N31:O31" si="11">+N32+N33+N34+N35+N36+N37+N38+N39+N40</f>
        <v>37595.480000000003</v>
      </c>
      <c r="O31" s="71">
        <f t="shared" si="11"/>
        <v>981473.98</v>
      </c>
      <c r="P31" s="71">
        <f t="shared" ref="P31:Q31" si="12">+P32+P33+P34+P35+P36+P37+P38+P39+P40</f>
        <v>44164.759999999995</v>
      </c>
      <c r="Q31" s="71">
        <f t="shared" si="12"/>
        <v>2549773.92</v>
      </c>
      <c r="R31" s="20">
        <f>SUM(F31:Q31)</f>
        <v>10917320.360000001</v>
      </c>
      <c r="S31" s="21"/>
    </row>
    <row r="32" spans="2:20" x14ac:dyDescent="0.3">
      <c r="B32" s="23" t="s">
        <v>32</v>
      </c>
      <c r="C32" s="24">
        <v>1525398</v>
      </c>
      <c r="D32" s="24"/>
      <c r="E32" s="18">
        <f t="shared" si="0"/>
        <v>1525398</v>
      </c>
      <c r="F32" s="25"/>
      <c r="G32" s="26">
        <v>5225</v>
      </c>
      <c r="H32" s="25">
        <v>21916</v>
      </c>
      <c r="I32" s="25">
        <v>9160</v>
      </c>
      <c r="J32" s="25">
        <v>20255</v>
      </c>
      <c r="K32" s="25">
        <f>220232.33+2000</f>
        <v>222232.33</v>
      </c>
      <c r="L32" s="25">
        <v>2585</v>
      </c>
      <c r="M32" s="25">
        <v>3575</v>
      </c>
      <c r="N32" s="25">
        <v>3795</v>
      </c>
      <c r="O32" s="25">
        <v>244487</v>
      </c>
      <c r="P32" s="25">
        <v>0</v>
      </c>
      <c r="Q32" s="25">
        <v>40110</v>
      </c>
      <c r="R32" s="48">
        <f t="shared" si="6"/>
        <v>573340.32999999996</v>
      </c>
      <c r="S32" s="12"/>
    </row>
    <row r="33" spans="2:19" x14ac:dyDescent="0.3">
      <c r="B33" s="23" t="s">
        <v>33</v>
      </c>
      <c r="C33" s="24">
        <v>1760000</v>
      </c>
      <c r="D33" s="24"/>
      <c r="E33" s="18">
        <f t="shared" si="0"/>
        <v>1760000</v>
      </c>
      <c r="F33" s="25"/>
      <c r="G33" s="26"/>
      <c r="H33" s="25"/>
      <c r="I33" s="25"/>
      <c r="J33" s="25"/>
      <c r="K33" s="25"/>
      <c r="L33" s="25">
        <v>0</v>
      </c>
      <c r="M33" s="25"/>
      <c r="N33" s="25"/>
      <c r="O33" s="25"/>
      <c r="P33" s="25">
        <v>61065</v>
      </c>
      <c r="Q33" s="25">
        <v>0</v>
      </c>
      <c r="R33" s="48">
        <f t="shared" si="6"/>
        <v>61065</v>
      </c>
      <c r="S33" s="12"/>
    </row>
    <row r="34" spans="2:19" x14ac:dyDescent="0.3">
      <c r="B34" s="23" t="s">
        <v>34</v>
      </c>
      <c r="C34" s="24">
        <f>500000+2500000</f>
        <v>3000000</v>
      </c>
      <c r="D34" s="24"/>
      <c r="E34" s="18">
        <f t="shared" si="0"/>
        <v>3000000</v>
      </c>
      <c r="F34" s="25"/>
      <c r="G34" s="26">
        <f>50858+64994.4</f>
        <v>115852.4</v>
      </c>
      <c r="H34" s="25">
        <f>75211.95+61342.89</f>
        <v>136554.84</v>
      </c>
      <c r="I34" s="25"/>
      <c r="J34" s="25"/>
      <c r="K34" s="25"/>
      <c r="L34" s="25">
        <v>0</v>
      </c>
      <c r="M34" s="25"/>
      <c r="N34" s="25"/>
      <c r="O34" s="25">
        <v>203219.6</v>
      </c>
      <c r="P34" s="25">
        <v>0</v>
      </c>
      <c r="Q34" s="25">
        <v>232283</v>
      </c>
      <c r="R34" s="48">
        <f t="shared" si="6"/>
        <v>687909.84</v>
      </c>
      <c r="S34" s="15"/>
    </row>
    <row r="35" spans="2:19" x14ac:dyDescent="0.3">
      <c r="B35" s="23" t="s">
        <v>35</v>
      </c>
      <c r="C35" s="24">
        <v>70000</v>
      </c>
      <c r="D35" s="24"/>
      <c r="E35" s="18">
        <f t="shared" si="0"/>
        <v>70000</v>
      </c>
      <c r="F35" s="25"/>
      <c r="G35" s="26"/>
      <c r="H35" s="25"/>
      <c r="I35" s="25"/>
      <c r="J35" s="25"/>
      <c r="K35" s="25"/>
      <c r="L35" s="25">
        <v>0</v>
      </c>
      <c r="M35" s="25"/>
      <c r="N35" s="25"/>
      <c r="O35" s="25"/>
      <c r="P35" s="25"/>
      <c r="Q35" s="25"/>
      <c r="R35" s="48">
        <f t="shared" si="6"/>
        <v>0</v>
      </c>
      <c r="S35" s="22"/>
    </row>
    <row r="36" spans="2:19" x14ac:dyDescent="0.3">
      <c r="B36" s="23" t="s">
        <v>36</v>
      </c>
      <c r="C36" s="24">
        <v>1700000</v>
      </c>
      <c r="D36" s="24"/>
      <c r="E36" s="18">
        <f t="shared" si="0"/>
        <v>1700000</v>
      </c>
      <c r="F36" s="25"/>
      <c r="G36" s="26">
        <v>0</v>
      </c>
      <c r="H36" s="25"/>
      <c r="I36" s="25">
        <v>37004.800000000003</v>
      </c>
      <c r="J36" s="25"/>
      <c r="K36" s="25"/>
      <c r="L36" s="25">
        <v>546930</v>
      </c>
      <c r="M36" s="25"/>
      <c r="N36" s="25"/>
      <c r="O36" s="25"/>
      <c r="P36" s="25"/>
      <c r="Q36" s="25">
        <v>105000</v>
      </c>
      <c r="R36" s="48">
        <f t="shared" si="6"/>
        <v>688934.8</v>
      </c>
      <c r="S36" s="21"/>
    </row>
    <row r="37" spans="2:19" x14ac:dyDescent="0.3">
      <c r="B37" s="23" t="s">
        <v>37</v>
      </c>
      <c r="C37" s="24">
        <v>225670</v>
      </c>
      <c r="D37" s="24"/>
      <c r="E37" s="18">
        <f t="shared" si="0"/>
        <v>225670</v>
      </c>
      <c r="F37" s="25"/>
      <c r="G37" s="26">
        <f>205591.4+354</f>
        <v>205945.4</v>
      </c>
      <c r="H37" s="25"/>
      <c r="I37" s="25"/>
      <c r="J37" s="25"/>
      <c r="K37" s="25"/>
      <c r="L37" s="25">
        <v>0</v>
      </c>
      <c r="M37" s="25"/>
      <c r="N37" s="25"/>
      <c r="O37" s="25">
        <v>234032.94</v>
      </c>
      <c r="P37" s="25">
        <v>0</v>
      </c>
      <c r="Q37" s="25">
        <v>0</v>
      </c>
      <c r="R37" s="48">
        <f t="shared" si="6"/>
        <v>439978.33999999997</v>
      </c>
      <c r="S37" s="21"/>
    </row>
    <row r="38" spans="2:19" ht="21" customHeight="1" x14ac:dyDescent="0.3">
      <c r="B38" s="23" t="s">
        <v>38</v>
      </c>
      <c r="C38" s="24">
        <v>6654000</v>
      </c>
      <c r="D38" s="24"/>
      <c r="E38" s="18">
        <f t="shared" si="0"/>
        <v>6654000</v>
      </c>
      <c r="F38" s="25">
        <v>184900.24</v>
      </c>
      <c r="G38" s="26">
        <v>184900.24</v>
      </c>
      <c r="H38" s="25">
        <v>164300.24</v>
      </c>
      <c r="I38" s="25">
        <v>183500.24</v>
      </c>
      <c r="J38" s="25">
        <v>163500.24</v>
      </c>
      <c r="K38" s="25">
        <v>2024500</v>
      </c>
      <c r="L38" s="25">
        <v>1098501.2</v>
      </c>
      <c r="M38" s="25">
        <v>124800</v>
      </c>
      <c r="N38" s="25">
        <v>33800.480000000003</v>
      </c>
      <c r="O38" s="25">
        <v>16900.240000000002</v>
      </c>
      <c r="P38" s="25">
        <v>-16900.240000000002</v>
      </c>
      <c r="Q38" s="25">
        <v>1830399.76</v>
      </c>
      <c r="R38" s="48">
        <f t="shared" si="6"/>
        <v>5993102.6400000006</v>
      </c>
      <c r="S38" s="21"/>
    </row>
    <row r="39" spans="2:19" ht="30.6" customHeight="1" x14ac:dyDescent="0.3">
      <c r="B39" s="23" t="s">
        <v>39</v>
      </c>
      <c r="C39" s="24"/>
      <c r="D39" s="24"/>
      <c r="E39" s="18">
        <f t="shared" si="0"/>
        <v>0</v>
      </c>
      <c r="F39" s="25"/>
      <c r="G39" s="26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48">
        <f t="shared" si="6"/>
        <v>0</v>
      </c>
      <c r="S39" s="21"/>
    </row>
    <row r="40" spans="2:19" x14ac:dyDescent="0.3">
      <c r="B40" s="23" t="s">
        <v>40</v>
      </c>
      <c r="C40" s="24">
        <v>6881304</v>
      </c>
      <c r="D40" s="24"/>
      <c r="E40" s="18">
        <f t="shared" si="0"/>
        <v>6881304</v>
      </c>
      <c r="F40" s="25"/>
      <c r="G40" s="26">
        <v>1531.11</v>
      </c>
      <c r="H40" s="25">
        <v>50269.01</v>
      </c>
      <c r="I40" s="25">
        <f>1601487.29+15000.01</f>
        <v>1616487.3</v>
      </c>
      <c r="J40" s="25">
        <v>40984.94</v>
      </c>
      <c r="K40" s="25">
        <v>0</v>
      </c>
      <c r="L40" s="25">
        <v>117081.62</v>
      </c>
      <c r="M40" s="25">
        <v>21820.07</v>
      </c>
      <c r="N40" s="25"/>
      <c r="O40" s="25">
        <v>282834.2</v>
      </c>
      <c r="P40" s="25">
        <v>0</v>
      </c>
      <c r="Q40" s="25">
        <v>341981.16</v>
      </c>
      <c r="R40" s="48">
        <f>SUM(F40:Q40)</f>
        <v>2472989.41</v>
      </c>
      <c r="S40" s="28"/>
    </row>
    <row r="41" spans="2:19" x14ac:dyDescent="0.3">
      <c r="B41" s="16" t="s">
        <v>41</v>
      </c>
      <c r="C41" s="17">
        <v>0</v>
      </c>
      <c r="D41" s="17">
        <v>0</v>
      </c>
      <c r="E41" s="18">
        <f t="shared" si="0"/>
        <v>0</v>
      </c>
      <c r="F41" s="19"/>
      <c r="G41" s="2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>
        <f t="shared" si="6"/>
        <v>0</v>
      </c>
      <c r="S41" s="21"/>
    </row>
    <row r="42" spans="2:19" hidden="1" x14ac:dyDescent="0.3">
      <c r="B42" s="23" t="s">
        <v>42</v>
      </c>
      <c r="C42" s="24">
        <v>0</v>
      </c>
      <c r="D42" s="24">
        <v>0</v>
      </c>
      <c r="E42" s="18">
        <f t="shared" si="0"/>
        <v>0</v>
      </c>
      <c r="F42" s="19"/>
      <c r="G42" s="2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>
        <f t="shared" si="6"/>
        <v>0</v>
      </c>
      <c r="S42" s="21"/>
    </row>
    <row r="43" spans="2:19" hidden="1" x14ac:dyDescent="0.3">
      <c r="B43" s="23" t="s">
        <v>43</v>
      </c>
      <c r="C43" s="24"/>
      <c r="D43" s="24"/>
      <c r="E43" s="18">
        <f t="shared" si="0"/>
        <v>0</v>
      </c>
      <c r="F43" s="19"/>
      <c r="G43" s="2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>
        <f t="shared" si="6"/>
        <v>0</v>
      </c>
      <c r="S43" s="21"/>
    </row>
    <row r="44" spans="2:19" hidden="1" x14ac:dyDescent="0.3">
      <c r="B44" s="23" t="s">
        <v>44</v>
      </c>
      <c r="C44" s="24"/>
      <c r="D44" s="24"/>
      <c r="E44" s="18">
        <f t="shared" si="0"/>
        <v>0</v>
      </c>
      <c r="F44" s="19"/>
      <c r="G44" s="2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>
        <f t="shared" si="6"/>
        <v>0</v>
      </c>
      <c r="S44" s="21"/>
    </row>
    <row r="45" spans="2:19" hidden="1" x14ac:dyDescent="0.3">
      <c r="B45" s="23" t="s">
        <v>45</v>
      </c>
      <c r="C45" s="24"/>
      <c r="D45" s="24"/>
      <c r="E45" s="18">
        <f t="shared" si="0"/>
        <v>0</v>
      </c>
      <c r="F45" s="19"/>
      <c r="G45" s="2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>
        <f t="shared" si="6"/>
        <v>0</v>
      </c>
      <c r="S45" s="12"/>
    </row>
    <row r="46" spans="2:19" hidden="1" x14ac:dyDescent="0.3">
      <c r="B46" s="23" t="s">
        <v>46</v>
      </c>
      <c r="C46" s="24"/>
      <c r="D46" s="24"/>
      <c r="E46" s="18">
        <f t="shared" ref="E46:E77" si="13">SUM(C46:D46)</f>
        <v>0</v>
      </c>
      <c r="F46" s="19"/>
      <c r="G46" s="2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>
        <f t="shared" si="6"/>
        <v>0</v>
      </c>
      <c r="S46" s="12"/>
    </row>
    <row r="47" spans="2:19" hidden="1" x14ac:dyDescent="0.3">
      <c r="B47" s="23" t="s">
        <v>47</v>
      </c>
      <c r="C47" s="24"/>
      <c r="D47" s="24"/>
      <c r="E47" s="18">
        <f t="shared" si="13"/>
        <v>0</v>
      </c>
      <c r="F47" s="19"/>
      <c r="G47" s="2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>
        <f t="shared" si="6"/>
        <v>0</v>
      </c>
      <c r="S47" s="12"/>
    </row>
    <row r="48" spans="2:19" hidden="1" x14ac:dyDescent="0.3">
      <c r="B48" s="23" t="s">
        <v>48</v>
      </c>
      <c r="C48" s="24"/>
      <c r="D48" s="24"/>
      <c r="E48" s="18">
        <f t="shared" si="13"/>
        <v>0</v>
      </c>
      <c r="F48" s="19"/>
      <c r="G48" s="2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>
        <f t="shared" si="6"/>
        <v>0</v>
      </c>
      <c r="S48" s="12"/>
    </row>
    <row r="49" spans="2:19" x14ac:dyDescent="0.3">
      <c r="B49" s="16" t="s">
        <v>49</v>
      </c>
      <c r="C49" s="31"/>
      <c r="D49" s="31"/>
      <c r="E49" s="18">
        <f t="shared" si="13"/>
        <v>0</v>
      </c>
      <c r="F49" s="19"/>
      <c r="G49" s="2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>
        <f t="shared" si="6"/>
        <v>0</v>
      </c>
      <c r="S49" s="12"/>
    </row>
    <row r="50" spans="2:19" hidden="1" x14ac:dyDescent="0.3">
      <c r="B50" s="23" t="s">
        <v>50</v>
      </c>
      <c r="C50" s="24"/>
      <c r="D50" s="24"/>
      <c r="E50" s="18">
        <f t="shared" si="13"/>
        <v>0</v>
      </c>
      <c r="F50" s="19"/>
      <c r="G50" s="2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>
        <f t="shared" si="6"/>
        <v>0</v>
      </c>
      <c r="S50" s="12"/>
    </row>
    <row r="51" spans="2:19" hidden="1" x14ac:dyDescent="0.3">
      <c r="B51" s="23" t="s">
        <v>51</v>
      </c>
      <c r="C51" s="24"/>
      <c r="D51" s="24"/>
      <c r="E51" s="18">
        <f t="shared" si="13"/>
        <v>0</v>
      </c>
      <c r="F51" s="19"/>
      <c r="G51" s="2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0">
        <f t="shared" si="6"/>
        <v>0</v>
      </c>
      <c r="S51" s="12"/>
    </row>
    <row r="52" spans="2:19" hidden="1" x14ac:dyDescent="0.3">
      <c r="B52" s="23" t="s">
        <v>52</v>
      </c>
      <c r="C52" s="24"/>
      <c r="D52" s="24"/>
      <c r="E52" s="18">
        <f t="shared" si="13"/>
        <v>0</v>
      </c>
      <c r="F52" s="19"/>
      <c r="G52" s="2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>
        <f t="shared" si="6"/>
        <v>0</v>
      </c>
      <c r="S52" s="21"/>
    </row>
    <row r="53" spans="2:19" hidden="1" x14ac:dyDescent="0.3">
      <c r="B53" s="23" t="s">
        <v>53</v>
      </c>
      <c r="C53" s="24"/>
      <c r="D53" s="24"/>
      <c r="E53" s="18">
        <f t="shared" si="13"/>
        <v>0</v>
      </c>
      <c r="F53" s="19"/>
      <c r="G53" s="2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>
        <f t="shared" si="6"/>
        <v>0</v>
      </c>
      <c r="S53" s="21"/>
    </row>
    <row r="54" spans="2:19" hidden="1" x14ac:dyDescent="0.3">
      <c r="B54" s="23" t="s">
        <v>54</v>
      </c>
      <c r="C54" s="24"/>
      <c r="D54" s="24"/>
      <c r="E54" s="18">
        <f t="shared" si="13"/>
        <v>0</v>
      </c>
      <c r="F54" s="19"/>
      <c r="G54" s="2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0">
        <f t="shared" si="6"/>
        <v>0</v>
      </c>
      <c r="S54" s="21"/>
    </row>
    <row r="55" spans="2:19" hidden="1" x14ac:dyDescent="0.3">
      <c r="B55" s="23" t="s">
        <v>55</v>
      </c>
      <c r="C55" s="24"/>
      <c r="D55" s="24"/>
      <c r="E55" s="18">
        <f t="shared" si="13"/>
        <v>0</v>
      </c>
      <c r="F55" s="19"/>
      <c r="G55" s="2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>
        <f t="shared" si="6"/>
        <v>0</v>
      </c>
      <c r="S55" s="21"/>
    </row>
    <row r="56" spans="2:19" hidden="1" x14ac:dyDescent="0.3">
      <c r="B56" s="23" t="s">
        <v>56</v>
      </c>
      <c r="C56" s="24"/>
      <c r="D56" s="24"/>
      <c r="E56" s="18">
        <f t="shared" si="13"/>
        <v>0</v>
      </c>
      <c r="F56" s="19"/>
      <c r="G56" s="2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>
        <f t="shared" si="6"/>
        <v>0</v>
      </c>
      <c r="S56" s="21"/>
    </row>
    <row r="57" spans="2:19" x14ac:dyDescent="0.3">
      <c r="B57" s="16" t="s">
        <v>57</v>
      </c>
      <c r="C57" s="17">
        <f>+C58+C59+C60+C61+C62+C63+C64+C65+C66</f>
        <v>10642556</v>
      </c>
      <c r="D57" s="17"/>
      <c r="E57" s="18">
        <f t="shared" si="13"/>
        <v>10642556</v>
      </c>
      <c r="F57" s="19"/>
      <c r="G57" s="29"/>
      <c r="H57" s="19"/>
      <c r="I57" s="18">
        <f>+I58+I59+I60+I61+I62+I63+I64+I65+I66</f>
        <v>93001.7</v>
      </c>
      <c r="J57" s="18">
        <f>+J58+J59+J60+J61+J62+J63+J64+J65+J66</f>
        <v>961400.07</v>
      </c>
      <c r="K57" s="18">
        <f t="shared" ref="K57:O57" si="14">+K58+K59+K60+K61+K62+K63+K64+K65+K66</f>
        <v>0</v>
      </c>
      <c r="L57" s="18">
        <f>+L58+L59+L60+L61+L62+L63+L64+L65+L66</f>
        <v>37760</v>
      </c>
      <c r="M57" s="18">
        <f t="shared" si="14"/>
        <v>861429.8</v>
      </c>
      <c r="N57" s="18">
        <f t="shared" si="14"/>
        <v>0</v>
      </c>
      <c r="O57" s="18">
        <f t="shared" si="14"/>
        <v>0</v>
      </c>
      <c r="P57" s="18">
        <f t="shared" ref="P57:Q57" si="15">+P58+P59+P60+P61+P62+P63+P64+P65+P66</f>
        <v>38775.33</v>
      </c>
      <c r="Q57" s="18">
        <f t="shared" si="15"/>
        <v>69000</v>
      </c>
      <c r="R57" s="20">
        <f>SUM(F57:Q57)</f>
        <v>2061366.9000000001</v>
      </c>
      <c r="S57" s="12"/>
    </row>
    <row r="58" spans="2:19" x14ac:dyDescent="0.3">
      <c r="B58" s="23" t="s">
        <v>58</v>
      </c>
      <c r="C58" s="32">
        <v>10142556</v>
      </c>
      <c r="D58" s="32"/>
      <c r="E58" s="18">
        <f t="shared" si="13"/>
        <v>10142556</v>
      </c>
      <c r="F58" s="51"/>
      <c r="G58" s="52"/>
      <c r="H58" s="51"/>
      <c r="I58" s="53">
        <v>93001.7</v>
      </c>
      <c r="J58" s="53">
        <v>961400.07</v>
      </c>
      <c r="K58" s="53">
        <v>0</v>
      </c>
      <c r="L58" s="67"/>
      <c r="M58" s="67">
        <v>861429.8</v>
      </c>
      <c r="N58" s="67"/>
      <c r="O58" s="67"/>
      <c r="P58" s="67">
        <v>38775.33</v>
      </c>
      <c r="Q58" s="67">
        <v>69000</v>
      </c>
      <c r="R58" s="48">
        <f t="shared" si="6"/>
        <v>2023606.9000000001</v>
      </c>
      <c r="S58" s="21"/>
    </row>
    <row r="59" spans="2:19" x14ac:dyDescent="0.3">
      <c r="B59" s="23" t="s">
        <v>59</v>
      </c>
      <c r="C59" s="32"/>
      <c r="D59" s="32"/>
      <c r="E59" s="18">
        <f t="shared" si="13"/>
        <v>0</v>
      </c>
      <c r="F59" s="25"/>
      <c r="G59" s="26"/>
      <c r="H59" s="25"/>
      <c r="I59" s="25"/>
      <c r="J59" s="25">
        <v>0</v>
      </c>
      <c r="K59" s="25">
        <v>0</v>
      </c>
      <c r="L59" s="25"/>
      <c r="M59" s="25"/>
      <c r="N59" s="25"/>
      <c r="O59" s="25"/>
      <c r="P59" s="25"/>
      <c r="Q59" s="25"/>
      <c r="R59" s="48">
        <f t="shared" si="6"/>
        <v>0</v>
      </c>
      <c r="S59" s="12"/>
    </row>
    <row r="60" spans="2:19" x14ac:dyDescent="0.3">
      <c r="B60" s="23" t="s">
        <v>60</v>
      </c>
      <c r="C60" s="24"/>
      <c r="D60" s="24"/>
      <c r="E60" s="18">
        <f t="shared" si="13"/>
        <v>0</v>
      </c>
      <c r="F60" s="25"/>
      <c r="G60" s="26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48">
        <f t="shared" si="6"/>
        <v>0</v>
      </c>
      <c r="S60" s="12"/>
    </row>
    <row r="61" spans="2:19" x14ac:dyDescent="0.3">
      <c r="B61" s="23" t="s">
        <v>61</v>
      </c>
      <c r="C61" s="24">
        <v>0</v>
      </c>
      <c r="D61" s="24">
        <v>0</v>
      </c>
      <c r="E61" s="18">
        <f t="shared" si="13"/>
        <v>0</v>
      </c>
      <c r="F61" s="25"/>
      <c r="G61" s="26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48">
        <f t="shared" si="6"/>
        <v>0</v>
      </c>
      <c r="S61" s="12"/>
    </row>
    <row r="62" spans="2:19" x14ac:dyDescent="0.3">
      <c r="B62" s="23" t="s">
        <v>62</v>
      </c>
      <c r="C62" s="24">
        <v>500000</v>
      </c>
      <c r="D62" s="24">
        <v>0</v>
      </c>
      <c r="E62" s="18">
        <f t="shared" si="13"/>
        <v>500000</v>
      </c>
      <c r="F62" s="25"/>
      <c r="G62" s="26"/>
      <c r="H62" s="25"/>
      <c r="I62" s="25"/>
      <c r="J62" s="25"/>
      <c r="K62" s="25"/>
      <c r="L62" s="25">
        <v>37760</v>
      </c>
      <c r="M62" s="25"/>
      <c r="N62" s="25"/>
      <c r="O62" s="25"/>
      <c r="P62" s="25"/>
      <c r="Q62" s="25"/>
      <c r="R62" s="48">
        <f t="shared" si="6"/>
        <v>37760</v>
      </c>
      <c r="S62" s="12"/>
    </row>
    <row r="63" spans="2:19" x14ac:dyDescent="0.3">
      <c r="B63" s="23" t="s">
        <v>63</v>
      </c>
      <c r="C63" s="24"/>
      <c r="D63" s="24"/>
      <c r="E63" s="18">
        <f t="shared" si="13"/>
        <v>0</v>
      </c>
      <c r="F63" s="25"/>
      <c r="G63" s="26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48">
        <f t="shared" si="6"/>
        <v>0</v>
      </c>
      <c r="S63" s="12"/>
    </row>
    <row r="64" spans="2:19" x14ac:dyDescent="0.3">
      <c r="B64" s="23" t="s">
        <v>64</v>
      </c>
      <c r="C64" s="24"/>
      <c r="D64" s="24"/>
      <c r="E64" s="18">
        <f t="shared" si="13"/>
        <v>0</v>
      </c>
      <c r="F64" s="25"/>
      <c r="G64" s="26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48">
        <f t="shared" si="6"/>
        <v>0</v>
      </c>
      <c r="S64" s="12"/>
    </row>
    <row r="65" spans="2:19" x14ac:dyDescent="0.3">
      <c r="B65" s="23" t="s">
        <v>65</v>
      </c>
      <c r="C65" s="24">
        <v>0</v>
      </c>
      <c r="D65" s="24">
        <v>0</v>
      </c>
      <c r="E65" s="18">
        <f t="shared" si="13"/>
        <v>0</v>
      </c>
      <c r="F65" s="25"/>
      <c r="G65" s="26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48">
        <f t="shared" si="6"/>
        <v>0</v>
      </c>
      <c r="S65" s="12"/>
    </row>
    <row r="66" spans="2:19" x14ac:dyDescent="0.3">
      <c r="B66" s="23" t="s">
        <v>66</v>
      </c>
      <c r="C66" s="24"/>
      <c r="D66" s="24"/>
      <c r="E66" s="18">
        <f t="shared" si="13"/>
        <v>0</v>
      </c>
      <c r="F66" s="25"/>
      <c r="G66" s="26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48">
        <f t="shared" si="6"/>
        <v>0</v>
      </c>
      <c r="S66" s="12"/>
    </row>
    <row r="67" spans="2:19" s="74" customFormat="1" x14ac:dyDescent="0.3">
      <c r="B67" s="16" t="s">
        <v>67</v>
      </c>
      <c r="C67" s="17">
        <f>+C68+C69</f>
        <v>1242516560</v>
      </c>
      <c r="D67" s="17">
        <f>+D68+D69</f>
        <v>0</v>
      </c>
      <c r="E67" s="18">
        <f t="shared" si="13"/>
        <v>1242516560</v>
      </c>
      <c r="F67" s="72"/>
      <c r="G67" s="71">
        <f t="shared" ref="G67:O67" si="16">+G68+G69</f>
        <v>94144217.320000008</v>
      </c>
      <c r="H67" s="71">
        <f t="shared" si="16"/>
        <v>80427694.949999988</v>
      </c>
      <c r="I67" s="71">
        <f t="shared" si="16"/>
        <v>40116160.570000008</v>
      </c>
      <c r="J67" s="71">
        <f t="shared" si="16"/>
        <v>6983862.5800000001</v>
      </c>
      <c r="K67" s="71">
        <f t="shared" si="16"/>
        <v>30930817.509999998</v>
      </c>
      <c r="L67" s="71">
        <f t="shared" si="16"/>
        <v>60867804.260000005</v>
      </c>
      <c r="M67" s="71">
        <f t="shared" si="16"/>
        <v>111682170.75</v>
      </c>
      <c r="N67" s="71">
        <f t="shared" si="16"/>
        <v>24731412</v>
      </c>
      <c r="O67" s="71">
        <f t="shared" si="16"/>
        <v>135893522.34999999</v>
      </c>
      <c r="P67" s="71">
        <f t="shared" ref="P67:Q67" si="17">+P68+P69</f>
        <v>121823186.03</v>
      </c>
      <c r="Q67" s="71">
        <f t="shared" si="17"/>
        <v>212299784.32999998</v>
      </c>
      <c r="R67" s="20">
        <f t="shared" si="6"/>
        <v>919900632.64999986</v>
      </c>
      <c r="S67" s="73"/>
    </row>
    <row r="68" spans="2:19" x14ac:dyDescent="0.3">
      <c r="B68" s="23" t="s">
        <v>68</v>
      </c>
      <c r="C68" s="24">
        <v>0</v>
      </c>
      <c r="D68" s="24"/>
      <c r="E68" s="18">
        <f t="shared" si="13"/>
        <v>0</v>
      </c>
      <c r="F68" s="19"/>
      <c r="G68" s="29">
        <v>3097284.64</v>
      </c>
      <c r="H68" s="19">
        <f>2418615.7+10497435.23</f>
        <v>12916050.93</v>
      </c>
      <c r="I68" s="19">
        <v>1066082.5900000001</v>
      </c>
      <c r="J68" s="19">
        <v>3221892.18</v>
      </c>
      <c r="K68" s="19">
        <v>6414297.9299999997</v>
      </c>
      <c r="L68" s="19">
        <v>3424589.39</v>
      </c>
      <c r="M68" s="19">
        <v>0</v>
      </c>
      <c r="N68" s="19"/>
      <c r="O68" s="19">
        <v>25350514.600000001</v>
      </c>
      <c r="P68" s="19">
        <v>11291897.300000001</v>
      </c>
      <c r="Q68" s="19">
        <v>4481823.8499999996</v>
      </c>
      <c r="R68" s="20">
        <f t="shared" si="6"/>
        <v>71264433.409999996</v>
      </c>
      <c r="S68" s="12"/>
    </row>
    <row r="69" spans="2:19" x14ac:dyDescent="0.3">
      <c r="B69" s="23" t="s">
        <v>69</v>
      </c>
      <c r="C69" s="24">
        <f>542516560+700000000</f>
        <v>1242516560</v>
      </c>
      <c r="D69" s="33"/>
      <c r="E69" s="18">
        <f t="shared" si="13"/>
        <v>1242516560</v>
      </c>
      <c r="F69" s="19"/>
      <c r="G69" s="29">
        <v>91046932.680000007</v>
      </c>
      <c r="H69" s="19">
        <v>67511644.019999996</v>
      </c>
      <c r="I69" s="19">
        <f>13688862.89+25361215.09</f>
        <v>39050077.980000004</v>
      </c>
      <c r="J69" s="19">
        <v>3761970.4</v>
      </c>
      <c r="K69" s="19">
        <v>24516519.579999998</v>
      </c>
      <c r="L69" s="19">
        <f>16543163.74+40900051.13</f>
        <v>57443214.870000005</v>
      </c>
      <c r="M69" s="19">
        <v>111682170.75</v>
      </c>
      <c r="N69" s="19">
        <v>24731412</v>
      </c>
      <c r="O69" s="19">
        <v>110543007.75</v>
      </c>
      <c r="P69" s="19">
        <v>110531288.73</v>
      </c>
      <c r="Q69" s="19">
        <v>207817960.47999999</v>
      </c>
      <c r="R69" s="20">
        <f t="shared" si="6"/>
        <v>848636199.24000001</v>
      </c>
      <c r="S69" s="15"/>
    </row>
    <row r="70" spans="2:19" hidden="1" x14ac:dyDescent="0.3">
      <c r="B70" s="23" t="s">
        <v>70</v>
      </c>
      <c r="C70" s="24"/>
      <c r="D70" s="24"/>
      <c r="E70" s="18">
        <f t="shared" si="13"/>
        <v>0</v>
      </c>
      <c r="F70" s="25"/>
      <c r="G70" s="26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7"/>
      <c r="S70" s="21"/>
    </row>
    <row r="71" spans="2:19" ht="27.6" hidden="1" x14ac:dyDescent="0.3">
      <c r="B71" s="23" t="s">
        <v>71</v>
      </c>
      <c r="C71" s="24"/>
      <c r="D71" s="24"/>
      <c r="E71" s="18">
        <f t="shared" si="13"/>
        <v>0</v>
      </c>
      <c r="F71" s="25"/>
      <c r="G71" s="26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34"/>
      <c r="S71" s="28"/>
    </row>
    <row r="72" spans="2:19" hidden="1" x14ac:dyDescent="0.3">
      <c r="B72" s="16" t="s">
        <v>72</v>
      </c>
      <c r="C72" s="31"/>
      <c r="D72" s="31"/>
      <c r="E72" s="18">
        <f t="shared" si="13"/>
        <v>0</v>
      </c>
      <c r="F72" s="25"/>
      <c r="G72" s="26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48">
        <f t="shared" ref="R72:R89" si="18">SUM(F72:O72)</f>
        <v>0</v>
      </c>
      <c r="S72" s="12"/>
    </row>
    <row r="73" spans="2:19" hidden="1" x14ac:dyDescent="0.3">
      <c r="B73" s="23" t="s">
        <v>73</v>
      </c>
      <c r="C73" s="24"/>
      <c r="D73" s="24"/>
      <c r="E73" s="18">
        <f t="shared" si="13"/>
        <v>0</v>
      </c>
      <c r="F73" s="25"/>
      <c r="G73" s="26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48">
        <f t="shared" si="18"/>
        <v>0</v>
      </c>
      <c r="S73" s="12"/>
    </row>
    <row r="74" spans="2:19" hidden="1" x14ac:dyDescent="0.3">
      <c r="B74" s="23" t="s">
        <v>74</v>
      </c>
      <c r="C74" s="24"/>
      <c r="D74" s="24"/>
      <c r="E74" s="18">
        <f t="shared" si="13"/>
        <v>0</v>
      </c>
      <c r="F74" s="25"/>
      <c r="G74" s="26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48">
        <f t="shared" si="18"/>
        <v>0</v>
      </c>
      <c r="S74" s="12"/>
    </row>
    <row r="75" spans="2:19" hidden="1" x14ac:dyDescent="0.3">
      <c r="B75" s="16" t="s">
        <v>75</v>
      </c>
      <c r="C75" s="31"/>
      <c r="D75" s="31"/>
      <c r="E75" s="18">
        <f t="shared" si="13"/>
        <v>0</v>
      </c>
      <c r="F75" s="25"/>
      <c r="G75" s="26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48">
        <f t="shared" si="18"/>
        <v>0</v>
      </c>
      <c r="S75" s="12"/>
    </row>
    <row r="76" spans="2:19" hidden="1" x14ac:dyDescent="0.3">
      <c r="B76" s="23" t="s">
        <v>76</v>
      </c>
      <c r="C76" s="24"/>
      <c r="D76" s="24"/>
      <c r="E76" s="18">
        <f t="shared" si="13"/>
        <v>0</v>
      </c>
      <c r="F76" s="25"/>
      <c r="G76" s="26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48">
        <f t="shared" si="18"/>
        <v>0</v>
      </c>
      <c r="S76" s="12"/>
    </row>
    <row r="77" spans="2:19" hidden="1" x14ac:dyDescent="0.3">
      <c r="B77" s="23" t="s">
        <v>77</v>
      </c>
      <c r="C77" s="24"/>
      <c r="D77" s="24"/>
      <c r="E77" s="18">
        <f t="shared" si="13"/>
        <v>0</v>
      </c>
      <c r="F77" s="25"/>
      <c r="G77" s="26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48">
        <f t="shared" si="18"/>
        <v>0</v>
      </c>
      <c r="S77" s="12"/>
    </row>
    <row r="78" spans="2:19" hidden="1" x14ac:dyDescent="0.3">
      <c r="B78" s="23" t="s">
        <v>78</v>
      </c>
      <c r="C78" s="24"/>
      <c r="D78" s="24"/>
      <c r="E78" s="18">
        <f t="shared" ref="E78:E91" si="19">SUM(C78:D78)</f>
        <v>0</v>
      </c>
      <c r="F78" s="25"/>
      <c r="G78" s="26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48">
        <f t="shared" si="18"/>
        <v>0</v>
      </c>
      <c r="S78" s="12"/>
    </row>
    <row r="79" spans="2:19" hidden="1" x14ac:dyDescent="0.3">
      <c r="B79" s="35" t="s">
        <v>79</v>
      </c>
      <c r="C79" s="17"/>
      <c r="D79" s="17"/>
      <c r="E79" s="18">
        <f t="shared" si="19"/>
        <v>0</v>
      </c>
      <c r="F79" s="25"/>
      <c r="G79" s="2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48">
        <f t="shared" si="18"/>
        <v>0</v>
      </c>
      <c r="S79" s="36"/>
    </row>
    <row r="80" spans="2:19" hidden="1" x14ac:dyDescent="0.3">
      <c r="B80" s="16" t="s">
        <v>80</v>
      </c>
      <c r="C80" s="37"/>
      <c r="D80" s="37"/>
      <c r="E80" s="18">
        <f t="shared" si="19"/>
        <v>0</v>
      </c>
      <c r="F80" s="25"/>
      <c r="G80" s="26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48">
        <f t="shared" si="18"/>
        <v>0</v>
      </c>
      <c r="S80" s="12"/>
    </row>
    <row r="81" spans="2:20" hidden="1" x14ac:dyDescent="0.3">
      <c r="B81" s="16" t="s">
        <v>81</v>
      </c>
      <c r="C81" s="31"/>
      <c r="D81" s="31"/>
      <c r="E81" s="18">
        <f t="shared" si="19"/>
        <v>0</v>
      </c>
      <c r="F81" s="25"/>
      <c r="G81" s="26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48">
        <f t="shared" si="18"/>
        <v>0</v>
      </c>
      <c r="S81" s="12"/>
    </row>
    <row r="82" spans="2:20" hidden="1" x14ac:dyDescent="0.3">
      <c r="B82" s="23" t="s">
        <v>82</v>
      </c>
      <c r="C82" s="24">
        <v>0</v>
      </c>
      <c r="D82" s="24">
        <v>0</v>
      </c>
      <c r="E82" s="18">
        <f t="shared" si="19"/>
        <v>0</v>
      </c>
      <c r="F82" s="25"/>
      <c r="G82" s="26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48">
        <f t="shared" si="18"/>
        <v>0</v>
      </c>
    </row>
    <row r="83" spans="2:20" hidden="1" x14ac:dyDescent="0.3">
      <c r="B83" s="23" t="s">
        <v>83</v>
      </c>
      <c r="C83" s="24">
        <v>0</v>
      </c>
      <c r="D83" s="24">
        <v>0</v>
      </c>
      <c r="E83" s="18">
        <f t="shared" si="19"/>
        <v>0</v>
      </c>
      <c r="F83" s="25"/>
      <c r="G83" s="26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48">
        <f t="shared" si="18"/>
        <v>0</v>
      </c>
    </row>
    <row r="84" spans="2:20" hidden="1" x14ac:dyDescent="0.3">
      <c r="B84" s="16" t="s">
        <v>84</v>
      </c>
      <c r="C84" s="31"/>
      <c r="D84" s="31"/>
      <c r="E84" s="18">
        <f t="shared" si="19"/>
        <v>0</v>
      </c>
      <c r="F84" s="25"/>
      <c r="G84" s="26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48">
        <f t="shared" si="18"/>
        <v>0</v>
      </c>
    </row>
    <row r="85" spans="2:20" hidden="1" x14ac:dyDescent="0.3">
      <c r="B85" s="23" t="s">
        <v>85</v>
      </c>
      <c r="C85" s="24">
        <v>0</v>
      </c>
      <c r="D85" s="24">
        <v>0</v>
      </c>
      <c r="E85" s="18">
        <f t="shared" si="19"/>
        <v>0</v>
      </c>
      <c r="F85" s="25"/>
      <c r="G85" s="26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48">
        <f t="shared" si="18"/>
        <v>0</v>
      </c>
    </row>
    <row r="86" spans="2:20" hidden="1" x14ac:dyDescent="0.3">
      <c r="B86" s="23" t="s">
        <v>86</v>
      </c>
      <c r="C86" s="24">
        <v>0</v>
      </c>
      <c r="D86" s="24">
        <v>0</v>
      </c>
      <c r="E86" s="18">
        <f t="shared" si="19"/>
        <v>0</v>
      </c>
      <c r="F86" s="25"/>
      <c r="G86" s="26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48">
        <f t="shared" si="18"/>
        <v>0</v>
      </c>
    </row>
    <row r="87" spans="2:20" hidden="1" x14ac:dyDescent="0.3">
      <c r="B87" s="16" t="s">
        <v>87</v>
      </c>
      <c r="C87" s="31"/>
      <c r="D87" s="31"/>
      <c r="E87" s="18">
        <f t="shared" si="19"/>
        <v>0</v>
      </c>
      <c r="F87" s="25"/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48">
        <f t="shared" si="18"/>
        <v>0</v>
      </c>
    </row>
    <row r="88" spans="2:20" hidden="1" x14ac:dyDescent="0.3">
      <c r="B88" s="23" t="s">
        <v>88</v>
      </c>
      <c r="C88" s="24">
        <v>0</v>
      </c>
      <c r="D88" s="24">
        <v>0</v>
      </c>
      <c r="E88" s="18">
        <f t="shared" si="19"/>
        <v>0</v>
      </c>
      <c r="F88" s="25"/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48">
        <f t="shared" si="18"/>
        <v>0</v>
      </c>
    </row>
    <row r="89" spans="2:20" x14ac:dyDescent="0.3">
      <c r="B89" s="35" t="s">
        <v>89</v>
      </c>
      <c r="C89" s="31"/>
      <c r="D89" s="31"/>
      <c r="E89" s="18">
        <f t="shared" si="19"/>
        <v>0</v>
      </c>
      <c r="F89" s="25"/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48">
        <f t="shared" si="18"/>
        <v>0</v>
      </c>
    </row>
    <row r="90" spans="2:20" hidden="1" x14ac:dyDescent="0.3">
      <c r="B90" s="39"/>
      <c r="C90" s="40"/>
      <c r="D90" s="40"/>
      <c r="E90" s="18">
        <f t="shared" si="19"/>
        <v>0</v>
      </c>
      <c r="F90" s="25"/>
      <c r="G90" s="26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38"/>
    </row>
    <row r="91" spans="2:20" x14ac:dyDescent="0.3">
      <c r="B91" s="35" t="s">
        <v>90</v>
      </c>
      <c r="C91" s="17">
        <f>+C15+C21+C31+C41+C49+C57+C67</f>
        <v>1524269892</v>
      </c>
      <c r="D91" s="17">
        <f>+D15+D21+D31+D41+D49+D57+D67</f>
        <v>0</v>
      </c>
      <c r="E91" s="18">
        <f t="shared" si="19"/>
        <v>1524269892</v>
      </c>
      <c r="F91" s="18">
        <f t="shared" ref="F91:O91" si="20">+F15+F21+F31+F41+F49+F57+F67</f>
        <v>10426521.590000002</v>
      </c>
      <c r="G91" s="18">
        <f t="shared" si="20"/>
        <v>106457276.86000001</v>
      </c>
      <c r="H91" s="18">
        <f t="shared" si="20"/>
        <v>132717195.53999999</v>
      </c>
      <c r="I91" s="18">
        <f t="shared" si="20"/>
        <v>58834171.720000006</v>
      </c>
      <c r="J91" s="18">
        <f t="shared" si="20"/>
        <v>33208648.259999998</v>
      </c>
      <c r="K91" s="18">
        <f t="shared" si="20"/>
        <v>51373478.169999994</v>
      </c>
      <c r="L91" s="18">
        <f t="shared" si="20"/>
        <v>97298952.770000011</v>
      </c>
      <c r="M91" s="18">
        <f t="shared" si="20"/>
        <v>143044149.49000001</v>
      </c>
      <c r="N91" s="18">
        <f t="shared" si="20"/>
        <v>37129067.060000002</v>
      </c>
      <c r="O91" s="18">
        <f t="shared" si="20"/>
        <v>169195388.03999999</v>
      </c>
      <c r="P91" s="18">
        <f t="shared" ref="P91:Q91" si="21">+P15+P21+P31+P41+P49+P57+P67</f>
        <v>159000759.75</v>
      </c>
      <c r="Q91" s="18">
        <f t="shared" si="21"/>
        <v>274483842.85000002</v>
      </c>
      <c r="R91" s="20">
        <f t="shared" ref="R91" si="22">SUM(F91:Q91)</f>
        <v>1273169452.0999999</v>
      </c>
      <c r="S91" s="30"/>
    </row>
    <row r="92" spans="2:20" ht="14.4" x14ac:dyDescent="0.3">
      <c r="B92" s="8" t="s">
        <v>91</v>
      </c>
      <c r="F92" s="9"/>
      <c r="G92" s="9"/>
      <c r="H92" s="9"/>
      <c r="I92" s="9"/>
      <c r="J92" s="9"/>
      <c r="K92" s="9"/>
      <c r="L92" s="9">
        <f>97298952.77-L91</f>
        <v>0</v>
      </c>
      <c r="M92" s="9"/>
      <c r="N92" s="9"/>
      <c r="O92" s="9"/>
      <c r="P92" s="9"/>
      <c r="Q92" s="9"/>
      <c r="R92" s="68"/>
    </row>
    <row r="93" spans="2:20" ht="14.4" customHeight="1" x14ac:dyDescent="0.3">
      <c r="B93" s="8" t="s">
        <v>92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77"/>
      <c r="Q93" s="77"/>
      <c r="R93" s="76"/>
      <c r="T93" s="77"/>
    </row>
    <row r="94" spans="2:20" x14ac:dyDescent="0.3">
      <c r="B94" s="8" t="s">
        <v>93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41"/>
    </row>
    <row r="95" spans="2:20" x14ac:dyDescent="0.3">
      <c r="B95" s="8" t="s">
        <v>94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66"/>
      <c r="S95" s="42"/>
    </row>
    <row r="96" spans="2:20" x14ac:dyDescent="0.3">
      <c r="B96" s="43" t="s">
        <v>95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0"/>
    </row>
    <row r="97" spans="2:18" x14ac:dyDescent="0.3">
      <c r="B97" s="8" t="s">
        <v>96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</row>
    <row r="98" spans="2:18" x14ac:dyDescent="0.3">
      <c r="B98" s="8" t="s">
        <v>97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0"/>
    </row>
    <row r="99" spans="2:18" hidden="1" x14ac:dyDescent="0.3">
      <c r="B99" s="8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0"/>
    </row>
    <row r="100" spans="2:18" hidden="1" x14ac:dyDescent="0.3">
      <c r="B100" s="64" t="str">
        <f>+B109</f>
        <v>APROBADO POR: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0"/>
    </row>
    <row r="101" spans="2:18" hidden="1" x14ac:dyDescent="0.3">
      <c r="B101" s="64" t="str">
        <f>+B110</f>
        <v>DANIEL E.QUIÑONES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0"/>
    </row>
    <row r="102" spans="2:18" ht="14.4" hidden="1" thickBot="1" x14ac:dyDescent="0.35">
      <c r="B102" s="65" t="str">
        <f>+B111</f>
        <v>DIR. FINANCIERO Y ADMINISTRATIVO</v>
      </c>
      <c r="C102" s="61"/>
      <c r="D102" s="61"/>
      <c r="E102" s="61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3"/>
    </row>
    <row r="103" spans="2:18" x14ac:dyDescent="0.3">
      <c r="B103" s="8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0"/>
    </row>
    <row r="104" spans="2:18" x14ac:dyDescent="0.3">
      <c r="B104" s="56"/>
      <c r="F104" s="9"/>
      <c r="G104" s="9"/>
      <c r="H104" s="9"/>
      <c r="I104" s="9"/>
      <c r="J104" s="57"/>
      <c r="K104" s="57"/>
      <c r="L104" s="57"/>
      <c r="M104" s="57"/>
      <c r="N104" s="57"/>
      <c r="O104" s="57"/>
      <c r="P104" s="57"/>
      <c r="Q104" s="57"/>
      <c r="R104" s="58"/>
    </row>
    <row r="105" spans="2:18" ht="14.4" x14ac:dyDescent="0.3">
      <c r="B105" s="44" t="s">
        <v>98</v>
      </c>
      <c r="C105" s="80"/>
      <c r="D105" s="80"/>
      <c r="F105" s="55"/>
      <c r="G105" s="55"/>
      <c r="H105" s="55"/>
      <c r="I105" s="90" t="s">
        <v>99</v>
      </c>
      <c r="J105" s="90"/>
      <c r="K105" s="90"/>
      <c r="L105" s="90"/>
      <c r="M105" s="90"/>
      <c r="N105" s="90"/>
      <c r="O105" s="90"/>
      <c r="P105" s="90"/>
      <c r="Q105" s="90"/>
      <c r="R105" s="91"/>
    </row>
    <row r="106" spans="2:18" ht="14.4" x14ac:dyDescent="0.3">
      <c r="B106" s="44" t="s">
        <v>100</v>
      </c>
      <c r="C106" s="80"/>
      <c r="D106" s="80"/>
      <c r="F106" s="55"/>
      <c r="G106" s="55"/>
      <c r="H106" s="55"/>
      <c r="I106" s="90" t="s">
        <v>113</v>
      </c>
      <c r="J106" s="90"/>
      <c r="K106" s="90"/>
      <c r="L106" s="90"/>
      <c r="M106" s="90"/>
      <c r="N106" s="90"/>
      <c r="O106" s="90"/>
      <c r="P106" s="90"/>
      <c r="Q106" s="90"/>
      <c r="R106" s="91"/>
    </row>
    <row r="107" spans="2:18" x14ac:dyDescent="0.3">
      <c r="B107" s="44" t="s">
        <v>101</v>
      </c>
      <c r="C107" s="80"/>
      <c r="D107" s="80"/>
      <c r="F107" s="55"/>
      <c r="G107" s="55"/>
      <c r="H107" s="55"/>
      <c r="I107" s="92" t="s">
        <v>101</v>
      </c>
      <c r="J107" s="92"/>
      <c r="K107" s="92"/>
      <c r="L107" s="92"/>
      <c r="M107" s="92"/>
      <c r="N107" s="92"/>
      <c r="O107" s="92"/>
      <c r="P107" s="92"/>
      <c r="Q107" s="92"/>
      <c r="R107" s="93"/>
    </row>
    <row r="108" spans="2:18" x14ac:dyDescent="0.3">
      <c r="B108" s="45"/>
      <c r="C108" s="59"/>
      <c r="D108" s="59"/>
      <c r="E108" s="59"/>
      <c r="F108" s="57"/>
      <c r="G108" s="57"/>
      <c r="H108" s="57"/>
      <c r="I108" s="57"/>
      <c r="J108" s="57"/>
      <c r="K108" s="9"/>
      <c r="L108" s="9"/>
      <c r="M108" s="9"/>
      <c r="N108" s="9"/>
      <c r="O108" s="9"/>
      <c r="P108" s="9"/>
      <c r="Q108" s="9"/>
      <c r="R108" s="10"/>
    </row>
    <row r="109" spans="2:18" x14ac:dyDescent="0.3">
      <c r="B109" s="81" t="s">
        <v>102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3"/>
    </row>
    <row r="110" spans="2:18" x14ac:dyDescent="0.3">
      <c r="B110" s="81" t="s">
        <v>103</v>
      </c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3"/>
    </row>
    <row r="111" spans="2:18" x14ac:dyDescent="0.3">
      <c r="B111" s="81" t="s">
        <v>104</v>
      </c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3"/>
    </row>
    <row r="112" spans="2:18" ht="4.2" customHeight="1" thickBot="1" x14ac:dyDescent="0.35">
      <c r="B112" s="60"/>
      <c r="C112" s="61"/>
      <c r="D112" s="61"/>
      <c r="E112" s="61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3"/>
    </row>
    <row r="113" spans="3:3" ht="14.4" thickTop="1" x14ac:dyDescent="0.3"/>
    <row r="114" spans="3:3" x14ac:dyDescent="0.3">
      <c r="C114" s="1"/>
    </row>
    <row r="115" spans="3:3" x14ac:dyDescent="0.3">
      <c r="C115" s="1"/>
    </row>
    <row r="116" spans="3:3" x14ac:dyDescent="0.3">
      <c r="C116" s="1"/>
    </row>
    <row r="117" spans="3:3" x14ac:dyDescent="0.3">
      <c r="C117" s="1"/>
    </row>
    <row r="118" spans="3:3" x14ac:dyDescent="0.3">
      <c r="C118" s="69"/>
    </row>
    <row r="119" spans="3:3" x14ac:dyDescent="0.3">
      <c r="C119" s="69"/>
    </row>
    <row r="120" spans="3:3" x14ac:dyDescent="0.3">
      <c r="C120" s="69"/>
    </row>
    <row r="121" spans="3:3" x14ac:dyDescent="0.3">
      <c r="C121" s="69"/>
    </row>
  </sheetData>
  <mergeCells count="12">
    <mergeCell ref="B111:R111"/>
    <mergeCell ref="B8:C8"/>
    <mergeCell ref="B9:C9"/>
    <mergeCell ref="B10:C10"/>
    <mergeCell ref="B11:C11"/>
    <mergeCell ref="B12:C12"/>
    <mergeCell ref="F12:R12"/>
    <mergeCell ref="B109:R109"/>
    <mergeCell ref="B110:R110"/>
    <mergeCell ref="I105:R105"/>
    <mergeCell ref="I106:R106"/>
    <mergeCell ref="I107:R107"/>
  </mergeCells>
  <phoneticPr fontId="8" type="noConversion"/>
  <printOptions horizontalCentered="1" verticalCentered="1"/>
  <pageMargins left="0.39370078740157483" right="0.39370078740157483" top="0.23622047244094491" bottom="0.23622047244094491" header="0.31496062992125984" footer="0.31496062992125984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2026-01-14T15:42:31Z</cp:lastPrinted>
  <dcterms:created xsi:type="dcterms:W3CDTF">2025-05-06T15:35:18Z</dcterms:created>
  <dcterms:modified xsi:type="dcterms:W3CDTF">2026-01-14T15:51:21Z</dcterms:modified>
</cp:coreProperties>
</file>