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portes de OAI\REPORTE 2023\"/>
    </mc:Choice>
  </mc:AlternateContent>
  <xr:revisionPtr revIDLastSave="0" documentId="13_ncr:1_{2D9671A0-D375-41F2-BC14-1B0CC909348F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Plantilla Presupuesto" sheetId="2" r:id="rId1"/>
  </sheets>
  <definedNames>
    <definedName name="_xlnm.Print_Area" localSheetId="0">'Plantilla Presupuesto'!$A$2:$N$106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0" i="2" l="1"/>
  <c r="N78" i="2"/>
  <c r="N68" i="2"/>
  <c r="N67" i="2"/>
  <c r="N66" i="2"/>
  <c r="N65" i="2"/>
  <c r="N58" i="2"/>
  <c r="N57" i="2"/>
  <c r="N56" i="2"/>
  <c r="N39" i="2"/>
  <c r="N37" i="2"/>
  <c r="N31" i="2"/>
  <c r="N30" i="2"/>
  <c r="N29" i="2"/>
  <c r="N28" i="2"/>
  <c r="N27" i="2"/>
  <c r="N21" i="2"/>
  <c r="N20" i="2"/>
  <c r="N19" i="2"/>
  <c r="N16" i="2"/>
  <c r="N15" i="2"/>
  <c r="N14" i="2"/>
  <c r="N13" i="2"/>
  <c r="N35" i="2"/>
  <c r="N34" i="2"/>
  <c r="N33" i="2"/>
  <c r="N32" i="2"/>
  <c r="N26" i="2"/>
  <c r="N25" i="2"/>
  <c r="N24" i="2"/>
  <c r="N23" i="2"/>
  <c r="N22" i="2"/>
  <c r="M27" i="2"/>
  <c r="M65" i="2"/>
  <c r="M56" i="2"/>
  <c r="M28" i="2"/>
  <c r="M20" i="2" s="1"/>
  <c r="M66" i="2"/>
  <c r="M30" i="2"/>
  <c r="M14" i="2"/>
  <c r="M39" i="2"/>
  <c r="L28" i="2"/>
  <c r="L66" i="2"/>
  <c r="L56" i="2"/>
  <c r="L30" i="2"/>
  <c r="L21" i="2"/>
  <c r="L14" i="2"/>
  <c r="R63" i="2"/>
  <c r="K15" i="2"/>
  <c r="K14" i="2" s="1"/>
  <c r="K28" i="2"/>
  <c r="K30" i="2"/>
  <c r="K56" i="2"/>
  <c r="K21" i="2"/>
  <c r="J28" i="2"/>
  <c r="I15" i="2"/>
  <c r="J66" i="2"/>
  <c r="J30" i="2"/>
  <c r="J21" i="2"/>
  <c r="J19" i="2"/>
  <c r="J15" i="2"/>
  <c r="I66" i="2"/>
  <c r="I39" i="2"/>
  <c r="I30" i="2" s="1"/>
  <c r="I29" i="2"/>
  <c r="I27" i="2"/>
  <c r="I19" i="2"/>
  <c r="M13" i="2" l="1"/>
  <c r="M78" i="2" s="1"/>
  <c r="M90" i="2" s="1"/>
  <c r="L20" i="2"/>
  <c r="L13" i="2" s="1"/>
  <c r="K20" i="2"/>
  <c r="K13" i="2" s="1"/>
  <c r="J20" i="2"/>
  <c r="I20" i="2"/>
  <c r="I14" i="2"/>
  <c r="J14" i="2"/>
  <c r="H20" i="2"/>
  <c r="H66" i="2"/>
  <c r="H30" i="2"/>
  <c r="H14" i="2"/>
  <c r="G67" i="2"/>
  <c r="G66" i="2" s="1"/>
  <c r="G31" i="2"/>
  <c r="G30" i="2" s="1"/>
  <c r="G21" i="2"/>
  <c r="G28" i="2"/>
  <c r="G19" i="2"/>
  <c r="G15" i="2"/>
  <c r="K78" i="2" l="1"/>
  <c r="K90" i="2" s="1"/>
  <c r="L78" i="2"/>
  <c r="L90" i="2" s="1"/>
  <c r="J13" i="2"/>
  <c r="J78" i="2" s="1"/>
  <c r="J90" i="2" s="1"/>
  <c r="I13" i="2"/>
  <c r="I78" i="2" s="1"/>
  <c r="I90" i="2" s="1"/>
  <c r="G20" i="2"/>
  <c r="H13" i="2"/>
  <c r="H78" i="2" s="1"/>
  <c r="G14" i="2"/>
  <c r="F67" i="2"/>
  <c r="F56" i="2"/>
  <c r="F39" i="2"/>
  <c r="F37" i="2"/>
  <c r="F31" i="2"/>
  <c r="F28" i="2"/>
  <c r="F21" i="2"/>
  <c r="F19" i="2"/>
  <c r="F15" i="2"/>
  <c r="E29" i="2"/>
  <c r="E21" i="2"/>
  <c r="E66" i="2"/>
  <c r="G13" i="2" l="1"/>
  <c r="G78" i="2" s="1"/>
  <c r="G90" i="2" s="1"/>
  <c r="H90" i="2"/>
  <c r="F66" i="2"/>
  <c r="F20" i="2"/>
  <c r="F14" i="2"/>
  <c r="F30" i="2"/>
  <c r="D30" i="2"/>
  <c r="E37" i="2"/>
  <c r="E30" i="2" s="1"/>
  <c r="E28" i="2"/>
  <c r="E27" i="2"/>
  <c r="E19" i="2"/>
  <c r="E15" i="2"/>
  <c r="F13" i="2" l="1"/>
  <c r="F78" i="2" s="1"/>
  <c r="F90" i="2" s="1"/>
  <c r="E20" i="2"/>
  <c r="E14" i="2"/>
  <c r="D66" i="2"/>
  <c r="D21" i="2"/>
  <c r="D28" i="2"/>
  <c r="D19" i="2"/>
  <c r="D15" i="2"/>
  <c r="E13" i="2" l="1"/>
  <c r="E78" i="2" s="1"/>
  <c r="E90" i="2" s="1"/>
  <c r="D14" i="2"/>
  <c r="D20" i="2"/>
  <c r="C39" i="2"/>
  <c r="C57" i="2"/>
  <c r="C68" i="2"/>
  <c r="C28" i="2"/>
  <c r="C27" i="2"/>
  <c r="C15" i="2"/>
  <c r="C25" i="2"/>
  <c r="D13" i="2" l="1"/>
  <c r="C19" i="2"/>
  <c r="C22" i="2"/>
  <c r="C21" i="2"/>
  <c r="C36" i="2"/>
  <c r="C32" i="2"/>
  <c r="C16" i="2"/>
  <c r="C67" i="2"/>
  <c r="C66" i="2" s="1"/>
  <c r="B67" i="2"/>
  <c r="C33" i="2"/>
  <c r="C29" i="2"/>
  <c r="C61" i="2"/>
  <c r="C37" i="2"/>
  <c r="C35" i="2"/>
  <c r="C31" i="2"/>
  <c r="C23" i="2"/>
  <c r="B57" i="2"/>
  <c r="B68" i="2"/>
  <c r="B28" i="2"/>
  <c r="B15" i="2"/>
  <c r="B60" i="2"/>
  <c r="B24" i="2"/>
  <c r="B19" i="2"/>
  <c r="B16" i="2"/>
  <c r="C40" i="2"/>
  <c r="B40" i="2"/>
  <c r="D78" i="2" l="1"/>
  <c r="B20" i="2"/>
  <c r="B66" i="2"/>
  <c r="C56" i="2"/>
  <c r="C30" i="2"/>
  <c r="C20" i="2"/>
  <c r="C14" i="2"/>
  <c r="B30" i="2"/>
  <c r="D90" i="2" l="1"/>
  <c r="C13" i="2"/>
  <c r="B56" i="2"/>
  <c r="B14" i="2"/>
  <c r="B13" i="2" l="1"/>
  <c r="C78" i="2"/>
  <c r="C90" i="2" s="1"/>
  <c r="B78" i="2" l="1"/>
  <c r="B9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<sst xmlns="http://schemas.openxmlformats.org/spreadsheetml/2006/main" count="107" uniqueCount="107">
  <si>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</si>
  <si>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</si>
  <si>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</si>
  <si>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</si>
  <si>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</si>
  <si>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</si>
  <si>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</si>
  <si>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</si>
  <si>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</si>
  <si>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</si>
  <si>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</si>
  <si>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</si>
  <si>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</si>
  <si>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</si>
  <si>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</si>
  <si>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</si>
  <si>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</si>
  <si>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</si>
  <si>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</si>
  <si>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</si>
  <si>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</si>
  <si>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</si>
  <si>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</si>
  <si>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</si>
  <si>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</si>
  <si>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</si>
  <si>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</si>
  <si>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</si>
  <si>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</si>
  <si>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</si>
  <si>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</si>
  <si>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</si>
  <si>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</si>
  <si>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</si>
  <si>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</si>
  <si>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</si>
  <si>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</si>
  <si>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</si>
  <si>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</si>
  <si>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</si>
  <si>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</si>
  <si>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</si>
  <si>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</si>
  <si>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</si>
  <si>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</si>
  <si>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</si>
  <si>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</si>
  <si>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</si>
  <si>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</si>
  <si>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</si>
  <si>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</si>
  <si>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</si>
  <si>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</si>
  <si>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</si>
  <si>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</si>
  <si>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</si>
  <si>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</si>
  <si>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</si>
  <si>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</si>
  <si>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</si>
  <si>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</si>
  <si>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</si>
  <si>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</si>
  <si>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</si>
  <si>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</si>
  <si>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</si>
  <si>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</si>
  <si>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</si>
  <si>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</si>
  <si>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</si>
  <si>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</si>
  <si>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</si>
  <si>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</si>
  <si>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</si>
  <si>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</si>
  <si>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</si>
  <si>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</si>
  <si>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</si>
  <si>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</si>
  <si>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</si>
  <si>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</si>
  <si>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</si>
  <si>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</si>
  <si>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</si>
  <si>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</si>
  <si>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Unidad Ejecutada para la Readecuacion de Barrios y Entornos</t>
  </si>
  <si>
    <t>AÑO 2023</t>
  </si>
  <si>
    <t xml:space="preserve">                                      </t>
  </si>
  <si>
    <t>2.2.9</t>
  </si>
  <si>
    <t xml:space="preserve">Presupuesto de Gastos y Aplicaciones Financieras </t>
  </si>
  <si>
    <t xml:space="preserve">                                                  Elaborado por                                                           Revisado por                                                           Aprobado por                         </t>
  </si>
  <si>
    <t xml:space="preserve">                                             Yovanny  De La Rosa                                           Gaylord Rafael Diaz                                                      Daniel Quiñones</t>
  </si>
  <si>
    <t xml:space="preserve">                                                      Contador                                                         Asesor Financiero                                                     Director Financiero</t>
  </si>
  <si>
    <r>
      <rPr>
        <b/>
        <sz val="11"/>
        <color theme="1"/>
        <rFont val="Gotham"/>
      </rPr>
      <t>Presupuesto aprobado</t>
    </r>
    <r>
      <rPr>
        <sz val="11"/>
        <color theme="1"/>
        <rFont val="Gotham"/>
      </rPr>
      <t>: Se refiere al prepuesto aprobado en Ley de Prespuesto General del Estado</t>
    </r>
  </si>
  <si>
    <r>
      <rPr>
        <b/>
        <sz val="11"/>
        <color theme="1"/>
        <rFont val="Gotham"/>
      </rPr>
      <t>Presupuesto modificado</t>
    </r>
    <r>
      <rPr>
        <sz val="11"/>
        <color theme="1"/>
        <rFont val="Gotham"/>
      </rPr>
      <t xml:space="preserve">: Se refiere al prespuesto aprobado en caso de que el Congreso Nacional apruebe </t>
    </r>
  </si>
  <si>
    <r>
      <t xml:space="preserve">Total devengado: </t>
    </r>
    <r>
      <rPr>
        <sz val="11"/>
        <color theme="1"/>
        <rFont val="Gotham"/>
      </rPr>
      <t>Son los recursos financieros que surge con la obligacion de pago por la recepción de conformidad</t>
    </r>
  </si>
  <si>
    <t xml:space="preserve">ENERO </t>
  </si>
  <si>
    <t>TOTAL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</si>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</sst>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4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1"/>
      <color theme="1"/>
      <name val="Gotham"/>
    </font>
    <font>
      <b/>
      <sz val="11"/>
      <name val="Gotham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5" xfId="1" applyFont="1" applyBorder="1" applyAlignment="1">
      <alignment horizontal="left" vertical="center" wrapText="1"/>
    </xf>
    <xf numFmtId="43" fontId="2" fillId="0" borderId="0" xfId="1" applyFont="1"/>
    <xf numFmtId="0" fontId="6" fillId="0" borderId="0" xfId="0" applyFont="1" applyAlignment="1">
      <alignment horizontal="left" vertical="center" wrapText="1"/>
    </xf>
    <xf numFmtId="43" fontId="6" fillId="0" borderId="8" xfId="1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164" fontId="2" fillId="0" borderId="3" xfId="0" applyNumberFormat="1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3" fontId="6" fillId="0" borderId="6" xfId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43" fontId="2" fillId="0" borderId="3" xfId="1" applyFont="1" applyBorder="1"/>
    <xf numFmtId="43" fontId="2" fillId="0" borderId="6" xfId="1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vertical="center" wrapText="1"/>
    </xf>
    <xf numFmtId="0" fontId="2" fillId="0" borderId="4" xfId="0" applyFont="1" applyBorder="1"/>
    <xf numFmtId="0" fontId="4" fillId="3" borderId="2" xfId="0" applyFont="1" applyFill="1" applyBorder="1" applyAlignment="1">
      <alignment horizontal="left" vertical="center" wrapText="1"/>
    </xf>
    <xf numFmtId="43" fontId="6" fillId="0" borderId="10" xfId="1" applyFont="1" applyBorder="1" applyAlignment="1">
      <alignment vertical="center" wrapText="1"/>
    </xf>
    <xf numFmtId="0" fontId="6" fillId="0" borderId="0" xfId="0" applyFont="1"/>
    <xf numFmtId="43" fontId="2" fillId="0" borderId="0" xfId="0" applyNumberFormat="1" applyFont="1"/>
    <xf numFmtId="43" fontId="6" fillId="0" borderId="12" xfId="1" applyFont="1" applyBorder="1" applyAlignment="1">
      <alignment horizontal="left" vertical="center" wrapText="1"/>
    </xf>
    <xf numFmtId="43" fontId="6" fillId="0" borderId="13" xfId="1" applyFont="1" applyBorder="1" applyAlignment="1">
      <alignment vertical="center" wrapText="1"/>
    </xf>
    <xf numFmtId="43" fontId="2" fillId="0" borderId="14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43" fontId="6" fillId="0" borderId="15" xfId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4" borderId="14" xfId="0" applyNumberFormat="1" applyFont="1" applyFill="1" applyBorder="1" applyAlignment="1">
      <alignment vertical="center" wrapText="1"/>
    </xf>
    <xf numFmtId="43" fontId="2" fillId="4" borderId="14" xfId="0" applyNumberFormat="1" applyFont="1" applyFill="1" applyBorder="1" applyAlignment="1">
      <alignment vertical="center" wrapText="1"/>
    </xf>
    <xf numFmtId="43" fontId="2" fillId="0" borderId="14" xfId="1" applyFont="1" applyBorder="1"/>
    <xf numFmtId="0" fontId="2" fillId="0" borderId="14" xfId="0" applyFont="1" applyBorder="1"/>
    <xf numFmtId="43" fontId="2" fillId="0" borderId="17" xfId="1" applyFont="1" applyBorder="1"/>
    <xf numFmtId="43" fontId="6" fillId="0" borderId="17" xfId="1" applyFont="1" applyBorder="1"/>
    <xf numFmtId="43" fontId="2" fillId="0" borderId="14" xfId="0" applyNumberFormat="1" applyFont="1" applyBorder="1"/>
    <xf numFmtId="0" fontId="2" fillId="0" borderId="11" xfId="0" applyFont="1" applyBorder="1"/>
    <xf numFmtId="43" fontId="6" fillId="0" borderId="18" xfId="1" applyFont="1" applyBorder="1" applyAlignment="1">
      <alignment vertical="center" wrapText="1"/>
    </xf>
    <xf numFmtId="43" fontId="2" fillId="0" borderId="4" xfId="1" applyFont="1" applyBorder="1"/>
    <xf numFmtId="43" fontId="2" fillId="0" borderId="9" xfId="1" applyFont="1" applyBorder="1"/>
    <xf numFmtId="43" fontId="2" fillId="0" borderId="19" xfId="1" applyFont="1" applyBorder="1"/>
    <xf numFmtId="43" fontId="6" fillId="0" borderId="9" xfId="1" applyFont="1" applyBorder="1"/>
    <xf numFmtId="43" fontId="6" fillId="0" borderId="19" xfId="1" applyFont="1" applyBorder="1"/>
    <xf numFmtId="43" fontId="2" fillId="0" borderId="5" xfId="1" applyFont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3" fontId="6" fillId="0" borderId="20" xfId="1" applyFont="1" applyBorder="1"/>
    <xf numFmtId="43" fontId="5" fillId="0" borderId="0" xfId="1" applyFont="1"/>
    <xf numFmtId="43" fontId="2" fillId="0" borderId="0" xfId="1" applyFont="1" applyBorder="1"/>
    <xf numFmtId="0" fontId="2" fillId="0" borderId="0" xfId="0" applyFont="1" applyAlignment="1">
      <alignment horizontal="center"/>
    </xf>
    <xf numFmtId="43" fontId="6" fillId="0" borderId="0" xfId="0" applyNumberFormat="1" applyFont="1"/>
    <xf numFmtId="43" fontId="2" fillId="4" borderId="0" xfId="1" applyFont="1" applyFill="1"/>
    <xf numFmtId="0" fontId="2" fillId="4" borderId="0" xfId="0" applyFont="1" applyFill="1"/>
    <xf numFmtId="43" fontId="2" fillId="4" borderId="3" xfId="1" applyFont="1" applyFill="1" applyBorder="1"/>
    <xf numFmtId="43" fontId="6" fillId="0" borderId="0" xfId="1" applyFont="1" applyBorder="1"/>
    <xf numFmtId="0" fontId="6" fillId="4" borderId="0" xfId="0" applyFont="1" applyFill="1" applyAlignment="1">
      <alignment horizontal="center"/>
    </xf>
    <xf numFmtId="43" fontId="2" fillId="4" borderId="0" xfId="1" applyFont="1" applyFill="1" applyBorder="1"/>
    <xf numFmtId="43" fontId="2" fillId="4" borderId="0" xfId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43" fontId="6" fillId="4" borderId="0" xfId="1" applyFont="1" applyFill="1" applyBorder="1"/>
    <xf numFmtId="43" fontId="2" fillId="4" borderId="0" xfId="0" applyNumberFormat="1" applyFont="1" applyFill="1"/>
    <xf numFmtId="43" fontId="2" fillId="0" borderId="6" xfId="1" applyFont="1" applyBorder="1"/>
    <xf numFmtId="43" fontId="2" fillId="0" borderId="21" xfId="1" applyFont="1" applyBorder="1"/>
    <xf numFmtId="43" fontId="2" fillId="4" borderId="3" xfId="0" applyNumberFormat="1" applyFont="1" applyFill="1" applyBorder="1"/>
    <xf numFmtId="0" fontId="6" fillId="5" borderId="6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43" fontId="2" fillId="4" borderId="0" xfId="1" applyFont="1" applyFill="1" applyBorder="1" applyAlignment="1">
      <alignment horizontal="right"/>
    </xf>
    <xf numFmtId="43" fontId="6" fillId="4" borderId="0" xfId="0" applyNumberFormat="1" applyFont="1" applyFill="1"/>
    <xf numFmtId="0" fontId="2" fillId="0" borderId="3" xfId="0" applyFont="1" applyBorder="1"/>
    <xf numFmtId="43" fontId="5" fillId="0" borderId="0" xfId="0" applyNumberFormat="1" applyFont="1"/>
    <xf numFmtId="43" fontId="6" fillId="4" borderId="0" xfId="1" applyFont="1" applyFill="1" applyBorder="1" applyAlignment="1">
      <alignment horizontal="right"/>
    </xf>
    <xf numFmtId="43" fontId="6" fillId="4" borderId="0" xfId="0" applyNumberFormat="1" applyFont="1" applyFill="1" applyAlignment="1">
      <alignment horizontal="center"/>
    </xf>
    <xf numFmtId="43" fontId="4" fillId="0" borderId="0" xfId="0" applyNumberFormat="1" applyFont="1"/>
    <xf numFmtId="43" fontId="2" fillId="4" borderId="9" xfId="0" applyNumberFormat="1" applyFont="1" applyFill="1" applyBorder="1"/>
    <xf numFmtId="43" fontId="2" fillId="4" borderId="0" xfId="1" applyFont="1" applyFill="1" applyBorder="1" applyAlignment="1">
      <alignment horizontal="left"/>
    </xf>
    <xf numFmtId="43" fontId="6" fillId="0" borderId="15" xfId="1" applyFont="1" applyBorder="1"/>
    <xf numFmtId="43" fontId="6" fillId="0" borderId="24" xfId="1" applyFont="1" applyBorder="1"/>
    <xf numFmtId="43" fontId="2" fillId="0" borderId="0" xfId="1" applyFont="1" applyAlignment="1">
      <alignment horizontal="center"/>
    </xf>
    <xf numFmtId="43" fontId="6" fillId="4" borderId="0" xfId="1" applyFont="1" applyFill="1" applyBorder="1" applyAlignment="1">
      <alignment horizontal="center"/>
    </xf>
    <xf numFmtId="43" fontId="2" fillId="6" borderId="25" xfId="1" applyFont="1" applyFill="1" applyBorder="1"/>
    <xf numFmtId="43" fontId="2" fillId="0" borderId="24" xfId="1" applyFont="1" applyBorder="1"/>
    <xf numFmtId="0" fontId="2" fillId="0" borderId="19" xfId="0" applyFont="1" applyBorder="1"/>
    <xf numFmtId="43" fontId="7" fillId="6" borderId="25" xfId="1" applyFont="1" applyFill="1" applyBorder="1" applyAlignment="1">
      <alignment horizontal="center"/>
    </xf>
    <xf numFmtId="0" fontId="2" fillId="6" borderId="25" xfId="0" applyFont="1" applyFill="1" applyBorder="1"/>
    <xf numFmtId="0" fontId="6" fillId="6" borderId="25" xfId="0" applyFont="1" applyFill="1" applyBorder="1" applyAlignment="1">
      <alignment horizontal="center"/>
    </xf>
    <xf numFmtId="43" fontId="2" fillId="6" borderId="25" xfId="1" applyFont="1" applyFill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5" fillId="4" borderId="0" xfId="0" applyFont="1" applyFill="1"/>
    <xf numFmtId="0" fontId="6" fillId="4" borderId="0" xfId="0" applyFont="1" applyFill="1"/>
    <xf numFmtId="43" fontId="2" fillId="4" borderId="0" xfId="0" applyNumberFormat="1" applyFont="1" applyFill="1" applyAlignment="1">
      <alignment horizontal="center"/>
    </xf>
    <xf numFmtId="43" fontId="2" fillId="4" borderId="0" xfId="1" applyFont="1" applyFill="1" applyBorder="1" applyAlignment="1">
      <alignment vertical="center"/>
    </xf>
    <xf numFmtId="43" fontId="6" fillId="4" borderId="0" xfId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6"/>
  <sheetViews>
    <sheetView showGridLines="0" tabSelected="1" topLeftCell="J7" zoomScaleNormal="100" workbookViewId="0">
      <selection activeCell="O31" sqref="O31"/>
    </sheetView>
  </sheetViews>
  <sheetFormatPr baseColWidth="10" defaultColWidth="9.109375" defaultRowHeight="13.2" x14ac:dyDescent="0.2"/>
  <cols>
    <col min="1" max="1" width="73.109375" style="1" customWidth="1"/>
    <col min="2" max="2" width="25.109375" style="1" customWidth="1"/>
    <col min="3" max="3" width="26.88671875" style="1" customWidth="1"/>
    <col min="4" max="5" width="20.6640625" style="1" customWidth="1"/>
    <col min="6" max="13" width="21.5546875" style="1" customWidth="1"/>
    <col min="14" max="14" width="22.5546875" style="1" customWidth="1"/>
    <col min="15" max="15" width="20.88671875" style="1" customWidth="1"/>
    <col min="16" max="16" width="21.109375" style="1" customWidth="1"/>
    <col min="17" max="17" width="22.88671875" style="1" customWidth="1"/>
    <col min="18" max="18" width="18.77734375" style="1" customWidth="1"/>
    <col min="19" max="19" width="18.44140625" style="1" customWidth="1"/>
    <col min="20" max="20" width="20.88671875" style="1" customWidth="1"/>
    <col min="21" max="21" width="22.44140625" style="1" customWidth="1"/>
    <col min="22" max="22" width="21" style="1" customWidth="1"/>
    <col min="23" max="23" width="20.33203125" style="1" customWidth="1"/>
    <col min="24" max="24" width="20.44140625" style="1" customWidth="1"/>
    <col min="25" max="28" width="18.77734375" style="1" customWidth="1"/>
    <col min="29" max="31" width="19.5546875" style="1" customWidth="1"/>
    <col min="32" max="32" width="12.77734375" style="1" bestFit="1" customWidth="1"/>
    <col min="33" max="33" width="18.33203125" style="1" bestFit="1" customWidth="1"/>
    <col min="34" max="34" width="18.33203125" style="1" customWidth="1"/>
    <col min="35" max="16384" width="9.109375" style="1"/>
  </cols>
  <sheetData>
    <row r="1" spans="1:35" ht="10.199999999999999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t="33.6" customHeight="1" x14ac:dyDescent="0.2">
      <c r="A7" s="1" t="e" vm="1">
        <v>#VALUE!</v>
      </c>
      <c r="B7" s="2"/>
      <c r="C7" s="2"/>
    </row>
    <row r="8" spans="1:35" s="3" customFormat="1" ht="12.6" customHeight="1" x14ac:dyDescent="0.25">
      <c r="A8" s="96" t="s">
        <v>85</v>
      </c>
      <c r="B8" s="96"/>
      <c r="C8" s="96"/>
      <c r="O8" s="48"/>
      <c r="P8" s="72"/>
      <c r="Q8" s="75"/>
      <c r="R8" s="72"/>
      <c r="S8" s="48"/>
    </row>
    <row r="9" spans="1:35" s="3" customFormat="1" ht="13.2" customHeight="1" x14ac:dyDescent="0.25">
      <c r="A9" s="96" t="s">
        <v>86</v>
      </c>
      <c r="B9" s="96"/>
      <c r="C9" s="96"/>
      <c r="P9" s="48"/>
      <c r="Q9" s="72"/>
      <c r="S9" s="72"/>
      <c r="AG9" s="48"/>
    </row>
    <row r="10" spans="1:35" s="3" customFormat="1" ht="18" customHeight="1" x14ac:dyDescent="0.25">
      <c r="A10" s="96" t="s">
        <v>89</v>
      </c>
      <c r="B10" s="96"/>
      <c r="C10" s="96"/>
      <c r="P10" s="72"/>
      <c r="Q10" s="48"/>
      <c r="AG10" s="48"/>
    </row>
    <row r="11" spans="1:35" s="3" customFormat="1" ht="19.95" customHeight="1" thickBot="1" x14ac:dyDescent="0.3">
      <c r="A11" s="97" t="s">
        <v>36</v>
      </c>
      <c r="B11" s="97"/>
      <c r="C11" s="97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</row>
    <row r="12" spans="1:35" ht="14.4" customHeight="1" thickBot="1" x14ac:dyDescent="0.25">
      <c r="A12" s="4" t="s">
        <v>0</v>
      </c>
      <c r="B12" s="45" t="s">
        <v>37</v>
      </c>
      <c r="C12" s="46" t="s">
        <v>38</v>
      </c>
      <c r="D12" s="65" t="s">
        <v>96</v>
      </c>
      <c r="E12" s="66" t="s">
        <v>98</v>
      </c>
      <c r="F12" s="68" t="s">
        <v>99</v>
      </c>
      <c r="G12" s="68" t="s">
        <v>100</v>
      </c>
      <c r="H12" s="68" t="s">
        <v>101</v>
      </c>
      <c r="I12" s="68" t="s">
        <v>102</v>
      </c>
      <c r="J12" s="68" t="s">
        <v>103</v>
      </c>
      <c r="K12" s="68" t="s">
        <v>104</v>
      </c>
      <c r="L12" s="68" t="s">
        <v>105</v>
      </c>
      <c r="M12" s="68" t="s">
        <v>106</v>
      </c>
      <c r="N12" s="67" t="s">
        <v>97</v>
      </c>
      <c r="O12" s="56"/>
      <c r="P12" s="53"/>
      <c r="Q12" s="81"/>
      <c r="R12" s="56"/>
      <c r="S12" s="56"/>
      <c r="T12" s="56"/>
      <c r="U12" s="92"/>
      <c r="V12" s="70"/>
      <c r="W12" s="53"/>
      <c r="X12" s="53"/>
      <c r="Y12" s="61"/>
      <c r="Z12" s="61"/>
      <c r="AA12" s="61"/>
      <c r="AB12" s="23"/>
    </row>
    <row r="13" spans="1:35" ht="13.8" thickBot="1" x14ac:dyDescent="0.25">
      <c r="A13" s="5" t="s">
        <v>1</v>
      </c>
      <c r="B13" s="6">
        <f>+B14+B20+B30+B40+B56+B66</f>
        <v>5008002151</v>
      </c>
      <c r="C13" s="24">
        <f>+C14+C20+C30+C40+C56+C66</f>
        <v>5015487707.2800007</v>
      </c>
      <c r="D13" s="43">
        <f>D14+D20+D30+D66</f>
        <v>127297044.56999999</v>
      </c>
      <c r="E13" s="43">
        <f>E14+E20+E30+E66</f>
        <v>57822372.550000004</v>
      </c>
      <c r="F13" s="43">
        <f>F14+F20+F30+F56+F66</f>
        <v>1244256897.8700001</v>
      </c>
      <c r="G13" s="43">
        <f>G14+G30+G66+G20</f>
        <v>32713133.039999999</v>
      </c>
      <c r="H13" s="43">
        <f>H14+H20+H30+H66</f>
        <v>94876920.209999993</v>
      </c>
      <c r="I13" s="43">
        <f>I14+I20+I30+I66</f>
        <v>184743591.41</v>
      </c>
      <c r="J13" s="43">
        <f>J14+J20+J30+J56+J66</f>
        <v>33215361.93</v>
      </c>
      <c r="K13" s="43">
        <f>K14+K20+K30+K56+K66</f>
        <v>82961101.5</v>
      </c>
      <c r="L13" s="43">
        <f>L14+L20+L30+L56+L66</f>
        <v>643127949.41000009</v>
      </c>
      <c r="M13" s="43">
        <f>M14+M20+M30+M56+M66</f>
        <v>528018375.67000002</v>
      </c>
      <c r="N13" s="43">
        <f>D13+E13+F13+G13+H13+I13+J13+K13+L13+M13</f>
        <v>3029032748.1600008</v>
      </c>
      <c r="O13" s="55"/>
      <c r="P13" s="53"/>
      <c r="Q13" s="57"/>
      <c r="R13" s="57"/>
      <c r="S13" s="57"/>
      <c r="T13" s="57"/>
      <c r="U13" s="57"/>
      <c r="V13" s="53"/>
      <c r="W13" s="57"/>
      <c r="X13" s="57"/>
      <c r="Y13" s="57"/>
      <c r="Z13" s="57"/>
      <c r="AA13" s="57"/>
      <c r="AB13" s="57"/>
    </row>
    <row r="14" spans="1:35" x14ac:dyDescent="0.2">
      <c r="A14" s="8" t="s">
        <v>2</v>
      </c>
      <c r="B14" s="9">
        <f>+B15+B16+B17+B18+B19</f>
        <v>177524001</v>
      </c>
      <c r="C14" s="25">
        <f>+C15+C16+C17+C18+C19</f>
        <v>200557061.71000001</v>
      </c>
      <c r="D14" s="42">
        <f>D15+D16+D19</f>
        <v>12102876.75</v>
      </c>
      <c r="E14" s="42">
        <f>E15+E16+E19</f>
        <v>11473123.710000001</v>
      </c>
      <c r="F14" s="42">
        <f>F19+F16+F15</f>
        <v>12637899.359999999</v>
      </c>
      <c r="G14" s="42">
        <f>G19+G16+G15</f>
        <v>11034899</v>
      </c>
      <c r="H14" s="42">
        <f>H19+H16+H15</f>
        <v>12046019.889999999</v>
      </c>
      <c r="I14" s="42">
        <f>I19+I16+I15</f>
        <v>11131111.359999999</v>
      </c>
      <c r="J14" s="42">
        <f>J19+J16+J15</f>
        <v>11683073.15</v>
      </c>
      <c r="K14" s="42">
        <f>K15+K16+K19</f>
        <v>10346175.439999999</v>
      </c>
      <c r="L14" s="42">
        <f>L19+L16+L15</f>
        <v>9727912.5299999993</v>
      </c>
      <c r="M14" s="42">
        <f>M19+M16+M15</f>
        <v>9971147.2899999991</v>
      </c>
      <c r="N14" s="42">
        <f>D14+E14+F14+G14+H14+I14+J14+K14+L14+M14</f>
        <v>112154238.47999999</v>
      </c>
      <c r="O14" s="55"/>
      <c r="P14" s="53"/>
      <c r="Q14" s="58"/>
      <c r="R14" s="58"/>
      <c r="S14" s="89"/>
      <c r="T14" s="58"/>
      <c r="U14" s="58"/>
      <c r="V14" s="58"/>
      <c r="W14" s="58"/>
      <c r="X14" s="58"/>
      <c r="Y14" s="58"/>
      <c r="Z14" s="58"/>
      <c r="AA14" s="58"/>
      <c r="AB14" s="58"/>
      <c r="AC14" s="50"/>
      <c r="AD14" s="50"/>
    </row>
    <row r="15" spans="1:35" x14ac:dyDescent="0.2">
      <c r="A15" s="10" t="s">
        <v>3</v>
      </c>
      <c r="B15" s="11">
        <f>54885856+75000000+8800000</f>
        <v>138685856</v>
      </c>
      <c r="C15" s="26">
        <f>50724000+18577971+4461856+437574.91+2687948.02+74740000+8921667+75000+989743</f>
        <v>161615759.93000001</v>
      </c>
      <c r="D15" s="15">
        <f>6027195+260000+4031856</f>
        <v>10319051</v>
      </c>
      <c r="E15" s="15">
        <f>5574195+ 260000+3939103</f>
        <v>9773298</v>
      </c>
      <c r="F15" s="15">
        <f>5471195+260000+4044703+50000+1116658.98</f>
        <v>10942556.98</v>
      </c>
      <c r="G15" s="15">
        <f>5166045+260000+3949703</f>
        <v>9375748</v>
      </c>
      <c r="H15" s="15">
        <v>10401473.189999999</v>
      </c>
      <c r="I15" s="15">
        <f>5021045+35000+260000+4148503</f>
        <v>9464548</v>
      </c>
      <c r="J15" s="15">
        <f>5471045+260000+4208503</f>
        <v>9939548</v>
      </c>
      <c r="K15" s="15">
        <f>8829290.04</f>
        <v>8829290.0399999991</v>
      </c>
      <c r="L15" s="15">
        <v>8274548</v>
      </c>
      <c r="M15" s="15">
        <v>8480748</v>
      </c>
      <c r="N15" s="15">
        <f>D15+E15+F15+G15+H15+I15+J15+K15+L15+M15</f>
        <v>95800809.210000008</v>
      </c>
      <c r="O15" s="49"/>
      <c r="P15" s="53"/>
      <c r="Q15" s="61"/>
      <c r="R15" s="57"/>
      <c r="S15" s="57"/>
      <c r="T15" s="57"/>
      <c r="U15" s="57"/>
      <c r="V15" s="77"/>
      <c r="W15" s="57"/>
      <c r="X15" s="57"/>
      <c r="Y15" s="57"/>
      <c r="Z15" s="57"/>
      <c r="AA15" s="57"/>
      <c r="AB15" s="57"/>
      <c r="AC15" s="7"/>
      <c r="AD15" s="7"/>
    </row>
    <row r="16" spans="1:35" ht="14.4" customHeight="1" x14ac:dyDescent="0.2">
      <c r="A16" s="10" t="s">
        <v>4</v>
      </c>
      <c r="B16" s="11">
        <f>11524000+5800000</f>
        <v>17324000</v>
      </c>
      <c r="C16" s="26">
        <f>3120000+758000+2558137.5+3444000+6060000</f>
        <v>15940137.5</v>
      </c>
      <c r="D16" s="54">
        <v>260000</v>
      </c>
      <c r="E16" s="54">
        <v>260000</v>
      </c>
      <c r="F16" s="54">
        <v>260000</v>
      </c>
      <c r="G16" s="54">
        <v>260000</v>
      </c>
      <c r="H16" s="54">
        <v>260000</v>
      </c>
      <c r="I16" s="54">
        <v>260000</v>
      </c>
      <c r="J16" s="54">
        <v>260000</v>
      </c>
      <c r="K16" s="54">
        <v>220000</v>
      </c>
      <c r="L16" s="54">
        <v>220000</v>
      </c>
      <c r="M16" s="54">
        <v>220000</v>
      </c>
      <c r="N16" s="15">
        <f>D16+E16+F16+G16+H16+I16+J16+K16+L16+M16</f>
        <v>2480000</v>
      </c>
      <c r="O16" s="49"/>
      <c r="P16" s="53"/>
      <c r="Q16" s="61"/>
      <c r="R16" s="57"/>
      <c r="S16" s="57"/>
      <c r="T16" s="57"/>
      <c r="U16" s="57"/>
      <c r="V16" s="60"/>
      <c r="W16" s="57"/>
      <c r="X16" s="57"/>
      <c r="Y16" s="57"/>
      <c r="Z16" s="57"/>
      <c r="AA16" s="57"/>
      <c r="AB16" s="52"/>
      <c r="AH16" s="49"/>
      <c r="AI16" s="49"/>
    </row>
    <row r="17" spans="1:40" x14ac:dyDescent="0.2">
      <c r="A17" s="10" t="s">
        <v>39</v>
      </c>
      <c r="B17" s="11">
        <v>0</v>
      </c>
      <c r="C17" s="27"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49"/>
      <c r="P17" s="53"/>
      <c r="Q17" s="61"/>
      <c r="R17" s="57"/>
      <c r="S17" s="57"/>
      <c r="T17" s="57"/>
      <c r="U17" s="57"/>
      <c r="V17" s="53"/>
      <c r="W17" s="70"/>
      <c r="X17" s="70"/>
      <c r="Y17" s="70"/>
      <c r="Z17" s="70"/>
      <c r="AA17" s="70"/>
      <c r="AB17" s="51"/>
      <c r="AH17" s="49"/>
      <c r="AI17" s="49"/>
    </row>
    <row r="18" spans="1:40" x14ac:dyDescent="0.2">
      <c r="A18" s="10" t="s">
        <v>5</v>
      </c>
      <c r="B18" s="11">
        <v>0</v>
      </c>
      <c r="C18" s="27"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49"/>
      <c r="P18" s="53"/>
      <c r="Q18" s="53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H18" s="49"/>
      <c r="AI18" s="49"/>
    </row>
    <row r="19" spans="1:40" ht="13.8" thickBot="1" x14ac:dyDescent="0.25">
      <c r="A19" s="10" t="s">
        <v>6</v>
      </c>
      <c r="B19" s="11">
        <f>7072980+6788041+6910138+742986</f>
        <v>21514145</v>
      </c>
      <c r="C19" s="26">
        <f>4017401+4371308.28+459700+6499631+6910138+742986</f>
        <v>23001164.280000001</v>
      </c>
      <c r="D19" s="39">
        <f>417792.07+427930.85+45938.2+18434+18460+1981.1+277386.04+286261.78+29641.71</f>
        <v>1523825.7499999998</v>
      </c>
      <c r="E19" s="39">
        <f>385674.37+395767.85+42329.1+18434+18460+1981+268868.96+279676.32+28634.11</f>
        <v>1439825.7100000002</v>
      </c>
      <c r="F19" s="39">
        <f>378371.67+388454.85+41613.58+18434+18460+1981.1+272102+287173.92+28751.26</f>
        <v>1435342.38</v>
      </c>
      <c r="G19" s="39">
        <f>362161.81+366789.2+43794.15+18434+18460+1981.1+275923.17+280428.92+31178.65</f>
        <v>1399150.9999999998</v>
      </c>
      <c r="H19" s="39">
        <v>1384546.7</v>
      </c>
      <c r="I19" s="39">
        <f>351881.31+356494.2+42256.26+18343+18460+2195.78+290018.09+294543.72+32371</f>
        <v>1406563.36</v>
      </c>
      <c r="J19" s="39">
        <f>383786.31+388444.2+46097.82+18434+18460+2195.78+294272.09+298803.72+33031.23</f>
        <v>1483525.15</v>
      </c>
      <c r="K19" s="39">
        <v>1296885.3999999999</v>
      </c>
      <c r="L19" s="39">
        <v>1233364.53</v>
      </c>
      <c r="M19" s="39">
        <v>1270399.29</v>
      </c>
      <c r="N19" s="39">
        <f>D19+E19+F19+G19+H19+I19+J19+K19+L19+M19</f>
        <v>13873429.27</v>
      </c>
      <c r="O19" s="49"/>
      <c r="P19" s="53"/>
      <c r="Q19" s="56"/>
      <c r="R19" s="81"/>
      <c r="S19" s="81"/>
      <c r="T19" s="81"/>
      <c r="U19" s="81"/>
      <c r="V19" s="81"/>
      <c r="W19" s="81"/>
      <c r="X19" s="81"/>
      <c r="Y19" s="61"/>
      <c r="Z19" s="53"/>
      <c r="AA19" s="53"/>
      <c r="AB19" s="53"/>
      <c r="AC19" s="53"/>
      <c r="AD19" s="53"/>
      <c r="AE19" s="53"/>
      <c r="AF19" s="7"/>
      <c r="AG19" s="7"/>
      <c r="AK19" s="49"/>
      <c r="AL19" s="49"/>
    </row>
    <row r="20" spans="1:40" ht="13.8" thickBot="1" x14ac:dyDescent="0.25">
      <c r="A20" s="8" t="s">
        <v>7</v>
      </c>
      <c r="B20" s="13">
        <f>SUM(B21:B29)</f>
        <v>209924387</v>
      </c>
      <c r="C20" s="28">
        <f>SUM(C21:C29)</f>
        <v>297567444.83000004</v>
      </c>
      <c r="D20" s="43">
        <f>D21+D28</f>
        <v>4285801.24</v>
      </c>
      <c r="E20" s="43">
        <f>E21+E27+E28+E29</f>
        <v>34171377.620000005</v>
      </c>
      <c r="F20" s="43">
        <f>F28+F21</f>
        <v>19081926.870000001</v>
      </c>
      <c r="G20" s="43">
        <f>G29+G28+G21</f>
        <v>12770066.26</v>
      </c>
      <c r="H20" s="43">
        <f>H29+H28+H27+H21</f>
        <v>5367802.620000001</v>
      </c>
      <c r="I20" s="43">
        <f>I29+I28+I27+I25</f>
        <v>16141692.390000001</v>
      </c>
      <c r="J20" s="43">
        <f>J29+J28+J27+J25+J21</f>
        <v>15259382.530000001</v>
      </c>
      <c r="K20" s="43">
        <f>K28+K27+K25+K21</f>
        <v>6106466.1100000003</v>
      </c>
      <c r="L20" s="43">
        <f>L29+L28+L27+L26+L25+L22+L21</f>
        <v>4564048.5500000007</v>
      </c>
      <c r="M20" s="43">
        <f>M29+M28+M27+M24+M23+M22+M21</f>
        <v>17732256.079999998</v>
      </c>
      <c r="N20" s="43">
        <f>D20+E20+F20+G20+H20+I20+J20+K20+L20+M20</f>
        <v>135480820.27000001</v>
      </c>
      <c r="O20" s="55"/>
      <c r="P20" s="53"/>
      <c r="Q20" s="57"/>
      <c r="R20" s="57"/>
      <c r="S20" s="57"/>
      <c r="T20" s="57"/>
      <c r="U20" s="57"/>
      <c r="V20" s="57"/>
      <c r="W20" s="57"/>
      <c r="X20" s="57"/>
      <c r="Y20" s="53"/>
      <c r="Z20" s="53"/>
      <c r="AA20" s="53"/>
      <c r="AB20" s="61"/>
      <c r="AC20" s="53"/>
      <c r="AD20" s="53"/>
      <c r="AE20" s="53"/>
      <c r="AK20" s="49"/>
      <c r="AL20" s="49"/>
    </row>
    <row r="21" spans="1:40" x14ac:dyDescent="0.2">
      <c r="A21" s="10" t="s">
        <v>8</v>
      </c>
      <c r="B21" s="14">
        <v>6344000</v>
      </c>
      <c r="C21" s="29">
        <f>4741124.94+490000+816875+79000</f>
        <v>6126999.9400000004</v>
      </c>
      <c r="D21" s="40">
        <f>346734.92+38822.32+24046.6</f>
        <v>409603.83999999997</v>
      </c>
      <c r="E21" s="15">
        <f>351890.31+38865.6+47033.18</f>
        <v>437789.08999999997</v>
      </c>
      <c r="F21" s="40">
        <f>350683.15+38486.62+47008.3</f>
        <v>436178.07</v>
      </c>
      <c r="G21" s="40">
        <f>379940.56+37635+102697.48</f>
        <v>520273.04</v>
      </c>
      <c r="H21" s="40">
        <v>978588.58</v>
      </c>
      <c r="I21" s="40"/>
      <c r="J21" s="40">
        <f>395803.43+39001.85+157541.26</f>
        <v>592346.54</v>
      </c>
      <c r="K21" s="40">
        <f>416114.24+38129.43</f>
        <v>454243.67</v>
      </c>
      <c r="L21" s="40">
        <f>399045.47+38139.81+68417.95</f>
        <v>505603.23</v>
      </c>
      <c r="M21" s="40">
        <v>517596.9</v>
      </c>
      <c r="N21" s="40">
        <f>E21+F21+G21+H21+J21+K21+L21+M21</f>
        <v>4442619.12</v>
      </c>
      <c r="O21" s="49"/>
      <c r="P21" s="53"/>
      <c r="Q21" s="53"/>
      <c r="R21" s="57"/>
      <c r="S21" s="57"/>
      <c r="T21" s="57"/>
      <c r="U21" s="57"/>
      <c r="V21" s="57"/>
      <c r="W21" s="57"/>
      <c r="X21" s="57"/>
      <c r="Y21" s="53"/>
      <c r="Z21" s="53"/>
      <c r="AA21" s="53"/>
      <c r="AG21" s="23"/>
      <c r="AK21" s="49"/>
      <c r="AL21" s="49"/>
    </row>
    <row r="22" spans="1:40" x14ac:dyDescent="0.2">
      <c r="A22" s="10" t="s">
        <v>9</v>
      </c>
      <c r="B22" s="11">
        <v>2739892</v>
      </c>
      <c r="C22" s="27">
        <f>1095357+23880+168000+5800000</f>
        <v>7087237</v>
      </c>
      <c r="D22" s="15"/>
      <c r="F22" s="71"/>
      <c r="G22" s="71"/>
      <c r="H22" s="71"/>
      <c r="I22" s="71"/>
      <c r="J22" s="71"/>
      <c r="K22" s="71"/>
      <c r="L22" s="15">
        <v>134499.47</v>
      </c>
      <c r="M22" s="15">
        <v>280956.34999999998</v>
      </c>
      <c r="N22" s="15">
        <f>L22+M22</f>
        <v>415455.81999999995</v>
      </c>
      <c r="O22" s="49"/>
      <c r="P22" s="53"/>
      <c r="Q22" s="53"/>
      <c r="R22" s="57"/>
      <c r="S22" s="57"/>
      <c r="T22" s="57"/>
      <c r="U22" s="57"/>
      <c r="V22" s="57"/>
      <c r="W22" s="53"/>
      <c r="X22" s="70"/>
      <c r="Y22" s="53"/>
      <c r="Z22" s="56"/>
      <c r="AA22" s="56"/>
      <c r="AB22" s="74"/>
      <c r="AH22" s="51"/>
      <c r="AK22" s="49"/>
      <c r="AL22" s="49"/>
    </row>
    <row r="23" spans="1:40" ht="18" customHeight="1" x14ac:dyDescent="0.2">
      <c r="A23" s="10" t="s">
        <v>10</v>
      </c>
      <c r="B23" s="11">
        <v>360000</v>
      </c>
      <c r="C23" s="27">
        <f>282500+37500</f>
        <v>320000</v>
      </c>
      <c r="D23" s="15"/>
      <c r="E23" s="15"/>
      <c r="F23" s="15"/>
      <c r="G23" s="15"/>
      <c r="H23" s="15"/>
      <c r="I23" s="15"/>
      <c r="J23" s="15"/>
      <c r="K23" s="15"/>
      <c r="L23" s="15"/>
      <c r="M23" s="15">
        <v>199900</v>
      </c>
      <c r="N23" s="15">
        <f>M23</f>
        <v>199900</v>
      </c>
      <c r="O23" s="49"/>
      <c r="P23" s="53"/>
      <c r="Q23" s="53"/>
      <c r="R23" s="57"/>
      <c r="S23" s="57"/>
      <c r="T23" s="53"/>
      <c r="U23" s="53"/>
      <c r="V23" s="57"/>
      <c r="W23" s="57"/>
      <c r="X23" s="57"/>
      <c r="Y23" s="57"/>
      <c r="Z23" s="53"/>
      <c r="AA23" s="53"/>
      <c r="AH23" s="49"/>
      <c r="AI23" s="49"/>
    </row>
    <row r="24" spans="1:40" x14ac:dyDescent="0.2">
      <c r="A24" s="10" t="s">
        <v>11</v>
      </c>
      <c r="B24" s="11">
        <f>500000+50000000</f>
        <v>50500000</v>
      </c>
      <c r="C24" s="27">
        <v>15000000</v>
      </c>
      <c r="D24" s="15"/>
      <c r="E24" s="15"/>
      <c r="F24" s="15"/>
      <c r="G24" s="15"/>
      <c r="H24" s="15"/>
      <c r="I24" s="15"/>
      <c r="J24" s="15"/>
      <c r="K24" s="15"/>
      <c r="L24" s="15"/>
      <c r="M24" s="15">
        <v>37475.519999999997</v>
      </c>
      <c r="N24" s="15">
        <f>M24</f>
        <v>37475.519999999997</v>
      </c>
      <c r="O24" s="49"/>
      <c r="P24" s="53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81"/>
      <c r="AB24" s="85" t="s">
        <v>88</v>
      </c>
      <c r="AD24" s="53"/>
      <c r="AM24" s="49"/>
      <c r="AN24" s="49"/>
    </row>
    <row r="25" spans="1:40" x14ac:dyDescent="0.2">
      <c r="A25" s="10" t="s">
        <v>12</v>
      </c>
      <c r="B25" s="11">
        <v>8200000</v>
      </c>
      <c r="C25" s="30">
        <f>7723000+5200000+550000</f>
        <v>13473000</v>
      </c>
      <c r="D25" s="15"/>
      <c r="E25" s="15"/>
      <c r="F25" s="15"/>
      <c r="G25" s="15"/>
      <c r="H25" s="15"/>
      <c r="I25" s="15">
        <v>4338199.33</v>
      </c>
      <c r="J25" s="15">
        <v>1449526.98</v>
      </c>
      <c r="K25" s="15">
        <v>483175.66</v>
      </c>
      <c r="L25" s="15">
        <v>12600</v>
      </c>
      <c r="M25" s="15"/>
      <c r="N25" s="15">
        <f>I25+J25+K25+L25</f>
        <v>6283501.9700000007</v>
      </c>
      <c r="O25" s="49"/>
      <c r="P25" s="53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82"/>
      <c r="AC25" s="57"/>
      <c r="AD25" s="53"/>
      <c r="AM25" s="49"/>
      <c r="AN25" s="49"/>
    </row>
    <row r="26" spans="1:40" x14ac:dyDescent="0.2">
      <c r="A26" s="10" t="s">
        <v>13</v>
      </c>
      <c r="B26" s="11">
        <v>1500000</v>
      </c>
      <c r="C26" s="27">
        <v>908000</v>
      </c>
      <c r="D26" s="15"/>
      <c r="E26" s="15"/>
      <c r="F26" s="15"/>
      <c r="G26" s="15"/>
      <c r="H26" s="15"/>
      <c r="I26" s="15"/>
      <c r="J26" s="15"/>
      <c r="K26" s="15"/>
      <c r="L26" s="15">
        <v>907955.77</v>
      </c>
      <c r="M26" s="15"/>
      <c r="N26" s="15">
        <f>L26</f>
        <v>907955.77</v>
      </c>
      <c r="O26" s="49"/>
      <c r="P26" s="53"/>
      <c r="Q26" s="57"/>
      <c r="R26" s="53"/>
      <c r="S26" s="57"/>
      <c r="T26" s="57"/>
      <c r="U26" s="57"/>
      <c r="V26" s="57"/>
      <c r="W26" s="57"/>
      <c r="X26" s="57"/>
      <c r="Y26" s="57"/>
      <c r="Z26" s="57"/>
      <c r="AA26" s="57"/>
      <c r="AB26" s="86"/>
      <c r="AC26" s="53"/>
      <c r="AD26" s="53"/>
      <c r="AJ26" s="51"/>
      <c r="AM26" s="49"/>
      <c r="AN26" s="49"/>
    </row>
    <row r="27" spans="1:40" ht="26.4" x14ac:dyDescent="0.2">
      <c r="A27" s="10" t="s">
        <v>14</v>
      </c>
      <c r="B27" s="11">
        <v>10500000</v>
      </c>
      <c r="C27" s="31">
        <f>255000+472000+1335000+148700+350000+605700+400000+90000+1420000+280000+492000+558020+7739664.66</f>
        <v>14146084.66</v>
      </c>
      <c r="D27" s="15"/>
      <c r="E27" s="15">
        <f>160027.68+41303.51</f>
        <v>201331.19</v>
      </c>
      <c r="F27" s="15"/>
      <c r="G27" s="15"/>
      <c r="H27" s="7">
        <v>17539.150000000001</v>
      </c>
      <c r="I27" s="7">
        <f>354000+1237363.91</f>
        <v>1591363.91</v>
      </c>
      <c r="J27" s="7">
        <v>205391.16</v>
      </c>
      <c r="K27" s="7">
        <v>60848.13</v>
      </c>
      <c r="L27" s="7">
        <v>93184.23</v>
      </c>
      <c r="M27" s="7">
        <f>180286.82+1076042.68</f>
        <v>1256329.5</v>
      </c>
      <c r="N27" s="15">
        <f>E27+H27+I27+J27+K27+L27+M27</f>
        <v>3425987.27</v>
      </c>
      <c r="O27" s="61"/>
      <c r="P27" s="53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93"/>
      <c r="AB27" s="87"/>
      <c r="AC27" s="70"/>
      <c r="AD27" s="53"/>
    </row>
    <row r="28" spans="1:40" ht="12" customHeight="1" x14ac:dyDescent="0.2">
      <c r="A28" s="10" t="s">
        <v>15</v>
      </c>
      <c r="B28" s="11">
        <f>24321000+100000000</f>
        <v>124321000</v>
      </c>
      <c r="C28" s="26">
        <f>302000+50000+5772000+2101400+1851800+30000+6130988.69+21000+15439.54+588000+10000000+65000000+50000000+11000000+2500000+80380000</f>
        <v>235742628.23000002</v>
      </c>
      <c r="D28" s="15">
        <f>3130052+746145.4</f>
        <v>3876197.4</v>
      </c>
      <c r="E28" s="15">
        <f>9515102+20507918+1563100+51330+1218379.5</f>
        <v>32855829.5</v>
      </c>
      <c r="F28" s="15">
        <f>12531793+5695173.8+418782</f>
        <v>18645748.800000001</v>
      </c>
      <c r="G28" s="15">
        <f>7881866+4407654</f>
        <v>12289520</v>
      </c>
      <c r="H28" s="15">
        <v>4080803.47</v>
      </c>
      <c r="I28" s="15">
        <v>10877866</v>
      </c>
      <c r="J28" s="15">
        <f>973952.85+790600+3008815+8188648</f>
        <v>12962015.85</v>
      </c>
      <c r="K28" s="15">
        <f>-92286.35+2685340+2515145</f>
        <v>5108198.6500000004</v>
      </c>
      <c r="L28" s="15">
        <f>384540+1566217.5+138950+18880+28000+141374.35</f>
        <v>2277961.85</v>
      </c>
      <c r="M28" s="15">
        <f>3327552.03+10669430.8+1376162.08</f>
        <v>15373144.91</v>
      </c>
      <c r="N28" s="15">
        <f>D28+E28+F28+G28+H28+I28+J28+K28+L28+M28</f>
        <v>118347286.42999999</v>
      </c>
      <c r="O28" s="49"/>
      <c r="P28" s="53"/>
      <c r="Q28" s="57"/>
      <c r="R28" s="53"/>
      <c r="S28" s="57"/>
      <c r="T28" s="57"/>
      <c r="U28" s="57"/>
      <c r="V28" s="57"/>
      <c r="W28" s="57"/>
      <c r="X28" s="57"/>
      <c r="Y28" s="57"/>
      <c r="Z28" s="57"/>
      <c r="AA28" s="58"/>
      <c r="AB28" s="88"/>
      <c r="AC28" s="53"/>
      <c r="AI28" s="23"/>
      <c r="AM28" s="23"/>
    </row>
    <row r="29" spans="1:40" ht="13.8" thickBot="1" x14ac:dyDescent="0.25">
      <c r="A29" s="10" t="s">
        <v>40</v>
      </c>
      <c r="B29" s="11">
        <v>5459495</v>
      </c>
      <c r="C29" s="30">
        <f>244000+4519495</f>
        <v>4763495</v>
      </c>
      <c r="D29" s="39"/>
      <c r="E29" s="39">
        <f>193500+482927.84</f>
        <v>676427.84000000008</v>
      </c>
      <c r="F29" s="39"/>
      <c r="G29" s="39">
        <v>-39726.78</v>
      </c>
      <c r="H29" s="39">
        <v>290871.42</v>
      </c>
      <c r="I29" s="39">
        <f>64900-(730636.85)</f>
        <v>-665736.85</v>
      </c>
      <c r="J29" s="39">
        <v>50102</v>
      </c>
      <c r="K29" s="39"/>
      <c r="L29" s="39">
        <v>632244</v>
      </c>
      <c r="M29" s="39">
        <v>66852.899999999994</v>
      </c>
      <c r="N29" s="39">
        <f>E29+G29+H29+I29+J29+L28+L29+M29</f>
        <v>3288996.38</v>
      </c>
      <c r="O29" s="49"/>
      <c r="P29" s="53"/>
      <c r="Q29" s="57"/>
      <c r="R29" s="53"/>
      <c r="S29" s="57"/>
      <c r="T29" s="57"/>
      <c r="U29" s="57"/>
      <c r="V29" s="57"/>
      <c r="W29" s="57"/>
      <c r="X29" s="57"/>
      <c r="Y29" s="57"/>
      <c r="Z29" s="57"/>
      <c r="AA29" s="58"/>
      <c r="AB29" s="88"/>
      <c r="AC29" s="59"/>
      <c r="AD29" s="59"/>
      <c r="AE29" s="59"/>
      <c r="AF29" s="59"/>
      <c r="AG29" s="59"/>
    </row>
    <row r="30" spans="1:40" ht="13.8" thickBot="1" x14ac:dyDescent="0.25">
      <c r="A30" s="8" t="s">
        <v>16</v>
      </c>
      <c r="B30" s="13">
        <f>SUM(B31:B39)</f>
        <v>16604000</v>
      </c>
      <c r="C30" s="28">
        <f>SUM(C31:C39)</f>
        <v>21372041.329999998</v>
      </c>
      <c r="D30" s="43">
        <f>D37</f>
        <v>517000</v>
      </c>
      <c r="E30" s="43">
        <f>E39+E37+E36+E35+E32+E31</f>
        <v>1255648.8599999999</v>
      </c>
      <c r="F30" s="43">
        <f>F39+F37+F35+F34+F32+F31</f>
        <v>1046005.26</v>
      </c>
      <c r="G30" s="43">
        <f>G31+G37</f>
        <v>535938</v>
      </c>
      <c r="H30" s="43">
        <f>H39+H37+H35+H33+H32+H31</f>
        <v>1209378.57</v>
      </c>
      <c r="I30" s="43">
        <f>I39+I37+I32</f>
        <v>213935.15000000002</v>
      </c>
      <c r="J30" s="43">
        <f>J37+J39</f>
        <v>838236.25</v>
      </c>
      <c r="K30" s="43">
        <f>K37+K31</f>
        <v>531000</v>
      </c>
      <c r="L30" s="43">
        <f>L39+L37+L32+L31</f>
        <v>690326.76</v>
      </c>
      <c r="M30" s="43">
        <f>M39+M37+M35+M33+M32+M31</f>
        <v>2403089.1799999997</v>
      </c>
      <c r="N30" s="43">
        <f>D30+F30+E30+G30+H30+I30+J30+K30+L30+M30</f>
        <v>9240558.0300000012</v>
      </c>
      <c r="O30" s="55"/>
      <c r="P30" s="61"/>
      <c r="Q30" s="57"/>
      <c r="R30" s="53"/>
      <c r="S30" s="57"/>
      <c r="T30" s="57"/>
      <c r="U30" s="57"/>
      <c r="V30" s="57"/>
      <c r="W30" s="57"/>
      <c r="X30" s="57"/>
      <c r="Y30" s="57"/>
      <c r="Z30" s="57"/>
      <c r="AA30" s="58"/>
      <c r="AB30" s="69"/>
      <c r="AC30" s="57"/>
      <c r="AF30" s="7"/>
      <c r="AI30" s="7"/>
    </row>
    <row r="31" spans="1:40" x14ac:dyDescent="0.2">
      <c r="A31" s="10" t="s">
        <v>17</v>
      </c>
      <c r="B31" s="11">
        <v>600000</v>
      </c>
      <c r="C31" s="27">
        <f>1009500+600+15000</f>
        <v>1025100</v>
      </c>
      <c r="D31" s="40"/>
      <c r="E31" s="40">
        <v>186439.64</v>
      </c>
      <c r="F31" s="40">
        <f>10495+565.23</f>
        <v>11060.23</v>
      </c>
      <c r="G31" s="40">
        <f>14868+4070</f>
        <v>18938</v>
      </c>
      <c r="H31" s="40">
        <v>138191</v>
      </c>
      <c r="I31" s="40"/>
      <c r="J31" s="40"/>
      <c r="K31" s="40">
        <v>14000</v>
      </c>
      <c r="L31" s="40">
        <v>1540</v>
      </c>
      <c r="M31" s="40">
        <v>221180.88</v>
      </c>
      <c r="N31" s="40">
        <f>E31+F31+G31+H31+K31+L31+M31</f>
        <v>591349.75</v>
      </c>
      <c r="O31" s="49"/>
      <c r="P31" s="53"/>
      <c r="Q31" s="57"/>
      <c r="R31" s="53"/>
      <c r="S31" s="53"/>
      <c r="T31" s="53"/>
      <c r="U31" s="53"/>
      <c r="V31" s="57"/>
      <c r="W31" s="57"/>
      <c r="X31" s="69"/>
      <c r="Y31" s="73"/>
      <c r="Z31" s="53"/>
      <c r="AA31" s="57"/>
      <c r="AB31" s="57"/>
      <c r="AC31" s="60"/>
      <c r="AF31" s="23"/>
    </row>
    <row r="32" spans="1:40" x14ac:dyDescent="0.2">
      <c r="A32" s="10" t="s">
        <v>18</v>
      </c>
      <c r="B32" s="11">
        <v>1400000</v>
      </c>
      <c r="C32" s="27">
        <f>24532+300000+23000</f>
        <v>347532</v>
      </c>
      <c r="D32" s="15"/>
      <c r="E32" s="7">
        <v>47318</v>
      </c>
      <c r="F32" s="7">
        <v>54000</v>
      </c>
      <c r="G32" s="7"/>
      <c r="H32" s="7">
        <v>1246.08</v>
      </c>
      <c r="I32" s="7">
        <v>7552</v>
      </c>
      <c r="J32" s="7"/>
      <c r="K32" s="7"/>
      <c r="L32" s="7">
        <v>9917.9</v>
      </c>
      <c r="M32" s="7">
        <v>180249.3</v>
      </c>
      <c r="N32" s="15">
        <f>E32+F32+H32+I32+L32+M32</f>
        <v>300283.27999999997</v>
      </c>
      <c r="O32" s="49"/>
      <c r="P32" s="53"/>
      <c r="Q32" s="56"/>
      <c r="R32" s="56"/>
      <c r="S32" s="56"/>
      <c r="T32" s="56"/>
      <c r="U32" s="56"/>
      <c r="V32" s="81"/>
      <c r="W32" s="81"/>
      <c r="X32" s="56"/>
      <c r="Y32" s="56"/>
      <c r="Z32" s="81"/>
      <c r="AA32" s="81"/>
      <c r="AB32" s="60"/>
      <c r="AC32" s="53"/>
      <c r="AF32" s="23"/>
    </row>
    <row r="33" spans="1:33" x14ac:dyDescent="0.2">
      <c r="A33" s="10" t="s">
        <v>19</v>
      </c>
      <c r="B33" s="11">
        <v>1100000</v>
      </c>
      <c r="C33" s="27">
        <f>474919.47+293000</f>
        <v>767919.47</v>
      </c>
      <c r="D33" s="15"/>
      <c r="E33" s="15"/>
      <c r="F33" s="15"/>
      <c r="G33" s="15"/>
      <c r="H33" s="15">
        <v>75787.27</v>
      </c>
      <c r="I33" s="15"/>
      <c r="J33" s="15"/>
      <c r="K33" s="15"/>
      <c r="L33" s="15"/>
      <c r="M33" s="15">
        <v>224683.41</v>
      </c>
      <c r="N33" s="15">
        <f>H33+M33</f>
        <v>300470.68</v>
      </c>
      <c r="O33" s="49"/>
      <c r="P33" s="53"/>
      <c r="Q33" s="57"/>
      <c r="R33" s="57"/>
      <c r="S33" s="57"/>
      <c r="T33" s="57"/>
      <c r="U33" s="57"/>
      <c r="V33" s="57"/>
      <c r="W33" s="69"/>
      <c r="X33" s="53"/>
      <c r="Y33" s="57"/>
      <c r="Z33" s="57"/>
      <c r="AA33" s="57"/>
      <c r="AB33" s="53"/>
      <c r="AC33" s="53"/>
      <c r="AD33" s="53"/>
      <c r="AG33" s="23"/>
    </row>
    <row r="34" spans="1:33" x14ac:dyDescent="0.2">
      <c r="A34" s="10" t="s">
        <v>20</v>
      </c>
      <c r="B34" s="11">
        <v>200000</v>
      </c>
      <c r="C34" s="27">
        <v>134464.53</v>
      </c>
      <c r="D34" s="15"/>
      <c r="E34" s="15"/>
      <c r="F34" s="15">
        <v>51299.35</v>
      </c>
      <c r="G34" s="15"/>
      <c r="H34" s="15"/>
      <c r="I34" s="15"/>
      <c r="J34" s="15"/>
      <c r="K34" s="15"/>
      <c r="L34" s="15"/>
      <c r="M34" s="15"/>
      <c r="N34" s="15">
        <f>F34</f>
        <v>51299.35</v>
      </c>
      <c r="O34" s="49"/>
      <c r="P34" s="53"/>
      <c r="Q34" s="57"/>
      <c r="R34" s="57"/>
      <c r="S34" s="57"/>
      <c r="T34" s="57"/>
      <c r="U34" s="57"/>
      <c r="V34" s="69"/>
      <c r="W34" s="53"/>
      <c r="X34" s="53"/>
      <c r="Y34" s="57"/>
      <c r="Z34" s="57"/>
      <c r="AA34" s="53"/>
      <c r="AB34" s="53"/>
      <c r="AC34" s="53"/>
      <c r="AF34" s="23"/>
    </row>
    <row r="35" spans="1:33" x14ac:dyDescent="0.2">
      <c r="A35" s="10" t="s">
        <v>21</v>
      </c>
      <c r="B35" s="11">
        <v>2600000</v>
      </c>
      <c r="C35" s="27">
        <f>192556+59000</f>
        <v>251556</v>
      </c>
      <c r="D35" s="15"/>
      <c r="E35" s="15">
        <v>11514.44</v>
      </c>
      <c r="F35" s="15">
        <v>81081.34</v>
      </c>
      <c r="G35" s="15"/>
      <c r="H35" s="15">
        <v>1522.2</v>
      </c>
      <c r="I35" s="15"/>
      <c r="J35" s="15"/>
      <c r="K35" s="15"/>
      <c r="L35" s="15"/>
      <c r="M35" s="15">
        <v>307497.21000000002</v>
      </c>
      <c r="N35" s="15">
        <f>E35+F35+H35+M35</f>
        <v>401615.19</v>
      </c>
      <c r="O35" s="49"/>
      <c r="P35" s="53"/>
      <c r="Q35" s="57"/>
      <c r="R35" s="57"/>
      <c r="S35" s="57"/>
      <c r="T35" s="57"/>
      <c r="U35" s="57"/>
      <c r="V35" s="69"/>
      <c r="W35" s="57"/>
      <c r="X35" s="57"/>
      <c r="Y35" s="61"/>
      <c r="Z35" s="53"/>
      <c r="AA35" s="53"/>
      <c r="AB35" s="53"/>
      <c r="AC35" s="53"/>
    </row>
    <row r="36" spans="1:33" x14ac:dyDescent="0.2">
      <c r="A36" s="10" t="s">
        <v>22</v>
      </c>
      <c r="B36" s="11">
        <v>600000</v>
      </c>
      <c r="C36" s="27">
        <f>295115+1552294.18+2000+4620000</f>
        <v>6469409.1799999997</v>
      </c>
      <c r="D36" s="15"/>
      <c r="E36" s="15">
        <v>48696.34</v>
      </c>
      <c r="F36" s="15"/>
      <c r="G36" s="15"/>
      <c r="H36" s="15"/>
      <c r="I36" s="15"/>
      <c r="J36" s="15"/>
      <c r="K36" s="15"/>
      <c r="L36" s="15"/>
      <c r="M36" s="15"/>
      <c r="N36" s="15"/>
      <c r="O36" s="49"/>
      <c r="P36" s="53"/>
      <c r="Q36" s="53"/>
      <c r="R36" s="53"/>
      <c r="S36" s="53"/>
      <c r="T36" s="53"/>
      <c r="U36" s="61"/>
      <c r="V36" s="69"/>
      <c r="W36" s="60"/>
      <c r="X36" s="53"/>
      <c r="Y36" s="89"/>
      <c r="Z36" s="53"/>
      <c r="AA36" s="53"/>
      <c r="AB36" s="53"/>
      <c r="AC36" s="53"/>
    </row>
    <row r="37" spans="1:33" ht="26.4" x14ac:dyDescent="0.2">
      <c r="A37" s="10" t="s">
        <v>23</v>
      </c>
      <c r="B37" s="11">
        <v>7804000</v>
      </c>
      <c r="C37" s="27">
        <f>6004000+200000+4189+140000+140000</f>
        <v>6488189</v>
      </c>
      <c r="D37" s="15">
        <v>517000</v>
      </c>
      <c r="E37" s="15">
        <f>517000+12541.78</f>
        <v>529541.78</v>
      </c>
      <c r="F37" s="15">
        <f>517000+21755.52</f>
        <v>538755.52</v>
      </c>
      <c r="G37" s="15">
        <v>517000</v>
      </c>
      <c r="H37" s="15">
        <v>517000</v>
      </c>
      <c r="I37" s="15">
        <v>517000</v>
      </c>
      <c r="J37" s="15">
        <v>517000</v>
      </c>
      <c r="K37" s="15">
        <v>517000</v>
      </c>
      <c r="L37" s="15">
        <v>517000</v>
      </c>
      <c r="M37" s="15">
        <v>631119.34</v>
      </c>
      <c r="N37" s="15">
        <f>F37+D37+E37+G37+H37+I37+J37+K37+L37+M37</f>
        <v>5318416.6399999997</v>
      </c>
      <c r="O37" s="49"/>
      <c r="P37" s="61"/>
      <c r="Q37" s="53"/>
      <c r="R37" s="53"/>
      <c r="S37" s="53"/>
      <c r="T37" s="53"/>
      <c r="U37" s="53"/>
      <c r="V37" s="90"/>
      <c r="W37" s="57"/>
      <c r="X37" s="89"/>
      <c r="Y37" s="60"/>
      <c r="Z37" s="53"/>
      <c r="AA37" s="53"/>
      <c r="AB37" s="53"/>
      <c r="AC37" s="53"/>
      <c r="AD37" s="53"/>
    </row>
    <row r="38" spans="1:33" ht="26.4" x14ac:dyDescent="0.2">
      <c r="A38" s="10" t="s">
        <v>41</v>
      </c>
      <c r="B38" s="11">
        <v>0</v>
      </c>
      <c r="C38" s="2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49"/>
      <c r="P38" s="53"/>
      <c r="Q38" s="53"/>
      <c r="R38" s="53"/>
      <c r="S38" s="53"/>
      <c r="T38" s="53"/>
      <c r="U38" s="53"/>
      <c r="V38" s="89"/>
      <c r="W38" s="57"/>
      <c r="X38" s="53"/>
      <c r="Y38" s="70"/>
      <c r="Z38" s="57"/>
      <c r="AA38" s="53"/>
      <c r="AB38" s="53"/>
      <c r="AC38" s="53"/>
      <c r="AD38" s="53"/>
    </row>
    <row r="39" spans="1:33" ht="13.8" thickBot="1" x14ac:dyDescent="0.25">
      <c r="A39" s="10" t="s">
        <v>24</v>
      </c>
      <c r="B39" s="11">
        <v>2300000</v>
      </c>
      <c r="C39" s="27">
        <f>425000+517000+3062482+205500+120000+321000+43616+188000+243873.42+156384+605015.73</f>
        <v>5887871.1500000004</v>
      </c>
      <c r="D39" s="39"/>
      <c r="E39" s="39">
        <v>432138.66</v>
      </c>
      <c r="F39" s="39">
        <f>3469.2+247900+42417.84+16021.78</f>
        <v>309808.82000000007</v>
      </c>
      <c r="G39" s="39"/>
      <c r="H39" s="39">
        <v>475632.02</v>
      </c>
      <c r="I39" s="39">
        <f>10620-(321236.85)</f>
        <v>-310616.84999999998</v>
      </c>
      <c r="J39" s="39">
        <v>321236.25</v>
      </c>
      <c r="K39" s="39"/>
      <c r="L39" s="39">
        <v>161868.85999999999</v>
      </c>
      <c r="M39" s="39">
        <f>663834.68+174524.36</f>
        <v>838359.04000000004</v>
      </c>
      <c r="N39" s="39">
        <f>F39+E39+H39+I39+J39+L39+M39</f>
        <v>2228426.7999999998</v>
      </c>
      <c r="O39" s="49"/>
      <c r="P39" s="53"/>
      <c r="Q39" s="53"/>
      <c r="R39" s="53"/>
      <c r="S39" s="53"/>
      <c r="T39" s="53"/>
      <c r="U39" s="53"/>
      <c r="V39" s="89"/>
      <c r="W39" s="57"/>
      <c r="X39" s="53"/>
      <c r="Y39" s="61"/>
      <c r="Z39" s="57"/>
      <c r="AA39" s="53"/>
      <c r="AB39" s="53"/>
      <c r="AC39" s="53"/>
      <c r="AD39" s="53"/>
    </row>
    <row r="40" spans="1:33" ht="13.8" thickBot="1" x14ac:dyDescent="0.25">
      <c r="A40" s="8" t="s">
        <v>25</v>
      </c>
      <c r="B40" s="13">
        <f>SUM(B41:B47)</f>
        <v>1658528</v>
      </c>
      <c r="C40" s="28">
        <f>SUM(C41:C47)</f>
        <v>663528</v>
      </c>
      <c r="D40" s="62"/>
      <c r="E40" s="63"/>
      <c r="F40" s="34"/>
      <c r="G40" s="34"/>
      <c r="H40" s="34"/>
      <c r="I40" s="34"/>
      <c r="J40" s="34"/>
      <c r="K40" s="34"/>
      <c r="L40" s="34"/>
      <c r="M40" s="84"/>
      <c r="N40" s="83"/>
      <c r="O40" s="49"/>
      <c r="P40" s="53"/>
      <c r="Q40" s="53"/>
      <c r="R40" s="53"/>
      <c r="S40" s="53"/>
      <c r="T40" s="53"/>
      <c r="U40" s="53"/>
      <c r="V40" s="89"/>
      <c r="W40" s="57"/>
      <c r="X40" s="53"/>
      <c r="Y40" s="53"/>
      <c r="Z40" s="57"/>
      <c r="AA40" s="53"/>
      <c r="AB40" s="53"/>
      <c r="AC40" s="53"/>
      <c r="AD40" s="53"/>
      <c r="AE40" s="22"/>
      <c r="AF40" s="22"/>
    </row>
    <row r="41" spans="1:33" ht="13.8" thickBot="1" x14ac:dyDescent="0.25">
      <c r="A41" s="10" t="s">
        <v>26</v>
      </c>
      <c r="B41" s="11">
        <v>1658528</v>
      </c>
      <c r="C41" s="32">
        <v>663528</v>
      </c>
      <c r="D41" s="40"/>
      <c r="E41" s="40"/>
      <c r="F41" s="40"/>
      <c r="G41" s="40"/>
      <c r="H41" s="40"/>
      <c r="I41" s="40"/>
      <c r="J41" s="40"/>
      <c r="K41" s="40"/>
      <c r="L41" s="40"/>
      <c r="M41" s="34"/>
      <c r="N41" s="40"/>
      <c r="O41" s="49"/>
      <c r="P41" s="53"/>
      <c r="Q41" s="53"/>
      <c r="R41" s="53"/>
      <c r="S41" s="53"/>
      <c r="T41" s="53"/>
      <c r="U41" s="53"/>
      <c r="V41" s="89"/>
      <c r="W41" s="57"/>
      <c r="X41" s="53"/>
      <c r="Y41" s="53"/>
      <c r="Z41" s="57"/>
      <c r="AA41" s="53"/>
      <c r="AB41" s="53"/>
      <c r="AC41" s="53"/>
      <c r="AD41" s="53"/>
    </row>
    <row r="42" spans="1:33" ht="26.4" x14ac:dyDescent="0.2">
      <c r="A42" s="10" t="s">
        <v>42</v>
      </c>
      <c r="B42" s="11"/>
      <c r="C42" s="33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49"/>
      <c r="P42" s="53"/>
      <c r="Q42" s="53"/>
      <c r="R42" s="53"/>
      <c r="S42" s="53"/>
      <c r="T42" s="53"/>
      <c r="U42" s="53"/>
      <c r="V42" s="89"/>
      <c r="W42" s="57"/>
      <c r="X42" s="53"/>
      <c r="Y42" s="53"/>
      <c r="Z42" s="57"/>
      <c r="AA42" s="53"/>
      <c r="AB42" s="53"/>
      <c r="AC42" s="53"/>
      <c r="AD42" s="53"/>
    </row>
    <row r="43" spans="1:33" ht="26.4" x14ac:dyDescent="0.2">
      <c r="A43" s="10" t="s">
        <v>43</v>
      </c>
      <c r="B43" s="11"/>
      <c r="C43" s="3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49"/>
      <c r="P43" s="53"/>
      <c r="Q43" s="53"/>
      <c r="R43" s="53"/>
      <c r="S43" s="53"/>
      <c r="T43" s="53"/>
      <c r="U43" s="53"/>
      <c r="V43" s="53"/>
      <c r="W43" s="57"/>
      <c r="X43" s="61"/>
      <c r="Y43" s="53"/>
      <c r="Z43" s="61"/>
      <c r="AA43" s="53"/>
      <c r="AB43" s="53"/>
      <c r="AC43" s="53"/>
      <c r="AD43" s="53"/>
    </row>
    <row r="44" spans="1:33" ht="26.4" x14ac:dyDescent="0.2">
      <c r="A44" s="10" t="s">
        <v>44</v>
      </c>
      <c r="B44" s="11"/>
      <c r="C44" s="3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49"/>
      <c r="P44" s="53"/>
      <c r="Q44" s="89"/>
      <c r="R44" s="58"/>
      <c r="S44" s="58"/>
      <c r="T44" s="58"/>
      <c r="U44" s="58"/>
      <c r="V44" s="89"/>
      <c r="W44" s="58"/>
      <c r="X44" s="93"/>
      <c r="Y44" s="58"/>
      <c r="Z44" s="89"/>
      <c r="AA44" s="53"/>
      <c r="AB44" s="53"/>
      <c r="AC44" s="53"/>
      <c r="AD44" s="53"/>
    </row>
    <row r="45" spans="1:33" ht="26.4" x14ac:dyDescent="0.2">
      <c r="A45" s="10" t="s">
        <v>45</v>
      </c>
      <c r="B45" s="11"/>
      <c r="C45" s="33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49"/>
      <c r="P45" s="53"/>
      <c r="Q45" s="57"/>
      <c r="R45" s="57"/>
      <c r="S45" s="57"/>
      <c r="T45" s="57"/>
      <c r="U45" s="57"/>
      <c r="V45" s="57"/>
      <c r="W45" s="58"/>
      <c r="X45" s="61"/>
      <c r="Y45" s="57"/>
      <c r="Z45" s="57"/>
      <c r="AA45" s="53"/>
      <c r="AB45" s="53"/>
      <c r="AC45" s="53"/>
      <c r="AD45" s="53"/>
    </row>
    <row r="46" spans="1:33" x14ac:dyDescent="0.2">
      <c r="A46" s="10" t="s">
        <v>27</v>
      </c>
      <c r="B46" s="11"/>
      <c r="C46" s="33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49"/>
      <c r="P46" s="53"/>
      <c r="Q46" s="57"/>
      <c r="R46" s="57"/>
      <c r="S46" s="57"/>
      <c r="T46" s="57"/>
      <c r="U46" s="57"/>
      <c r="V46" s="61"/>
      <c r="W46" s="58"/>
      <c r="X46" s="53"/>
      <c r="Y46" s="57"/>
      <c r="Z46" s="57"/>
      <c r="AA46" s="53"/>
      <c r="AB46" s="53"/>
    </row>
    <row r="47" spans="1:33" ht="27" thickBot="1" x14ac:dyDescent="0.25">
      <c r="A47" s="10" t="s">
        <v>46</v>
      </c>
      <c r="B47" s="11"/>
      <c r="C47" s="33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49"/>
      <c r="P47" s="53"/>
      <c r="Q47" s="57"/>
      <c r="R47" s="57"/>
      <c r="S47" s="57"/>
      <c r="T47" s="57"/>
      <c r="U47" s="57"/>
      <c r="V47" s="57"/>
      <c r="W47" s="57"/>
      <c r="X47" s="53"/>
      <c r="Y47" s="53"/>
      <c r="Z47" s="57"/>
      <c r="AA47" s="53"/>
    </row>
    <row r="48" spans="1:33" ht="13.8" thickBot="1" x14ac:dyDescent="0.25">
      <c r="A48" s="8" t="s">
        <v>47</v>
      </c>
      <c r="B48" s="16"/>
      <c r="C48" s="3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9"/>
      <c r="P48" s="53"/>
      <c r="Q48" s="57"/>
      <c r="R48" s="61"/>
      <c r="S48" s="57"/>
      <c r="T48" s="57"/>
      <c r="U48" s="57"/>
      <c r="V48" s="57"/>
      <c r="W48" s="57"/>
      <c r="X48" s="53"/>
      <c r="Y48" s="53"/>
      <c r="Z48" s="53"/>
      <c r="AA48" s="53"/>
    </row>
    <row r="49" spans="1:27" x14ac:dyDescent="0.2">
      <c r="A49" s="10" t="s">
        <v>48</v>
      </c>
      <c r="B49" s="11"/>
      <c r="C49" s="3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9"/>
      <c r="P49" s="53"/>
      <c r="Q49" s="57"/>
      <c r="R49" s="57"/>
      <c r="S49" s="57"/>
      <c r="T49" s="60"/>
      <c r="U49" s="60"/>
      <c r="V49" s="57"/>
      <c r="W49" s="61"/>
      <c r="X49" s="53"/>
      <c r="Y49" s="53"/>
      <c r="Z49" s="53"/>
      <c r="AA49" s="53"/>
    </row>
    <row r="50" spans="1:27" ht="26.4" x14ac:dyDescent="0.2">
      <c r="A50" s="10" t="s">
        <v>49</v>
      </c>
      <c r="B50" s="11"/>
      <c r="C50" s="3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49"/>
      <c r="P50" s="53"/>
      <c r="Q50" s="94"/>
      <c r="R50" s="57"/>
      <c r="S50" s="57"/>
      <c r="T50" s="57"/>
      <c r="U50" s="57"/>
      <c r="V50" s="53"/>
      <c r="W50" s="53"/>
      <c r="X50" s="53"/>
      <c r="Y50" s="61"/>
      <c r="Z50" s="53"/>
      <c r="AA50" s="53"/>
    </row>
    <row r="51" spans="1:27" ht="26.4" x14ac:dyDescent="0.2">
      <c r="A51" s="10" t="s">
        <v>50</v>
      </c>
      <c r="B51" s="11"/>
      <c r="C51" s="3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49"/>
      <c r="P51" s="53"/>
      <c r="Q51" s="95"/>
      <c r="R51" s="57"/>
      <c r="S51" s="57"/>
      <c r="T51" s="57"/>
      <c r="U51" s="57"/>
      <c r="V51" s="53"/>
      <c r="W51" s="53"/>
      <c r="X51" s="53"/>
      <c r="Y51" s="53"/>
      <c r="Z51" s="53"/>
      <c r="AA51" s="53"/>
    </row>
    <row r="52" spans="1:27" ht="26.4" x14ac:dyDescent="0.2">
      <c r="A52" s="10" t="s">
        <v>51</v>
      </c>
      <c r="B52" s="11"/>
      <c r="C52" s="3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49"/>
      <c r="P52" s="53"/>
      <c r="Q52" s="57"/>
      <c r="R52" s="57"/>
      <c r="S52" s="57"/>
      <c r="T52" s="57"/>
      <c r="U52" s="57"/>
      <c r="V52" s="70"/>
      <c r="W52" s="70"/>
      <c r="X52" s="53"/>
      <c r="Y52" s="61"/>
      <c r="Z52" s="60"/>
      <c r="AA52" s="53"/>
    </row>
    <row r="53" spans="1:27" ht="26.4" x14ac:dyDescent="0.2">
      <c r="A53" s="10" t="s">
        <v>52</v>
      </c>
      <c r="B53" s="11"/>
      <c r="C53" s="3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49"/>
      <c r="P53" s="53"/>
      <c r="Q53" s="60"/>
      <c r="R53" s="60"/>
      <c r="S53" s="57"/>
      <c r="T53" s="60"/>
      <c r="U53" s="60"/>
      <c r="V53" s="70"/>
      <c r="W53" s="92"/>
      <c r="X53" s="70"/>
      <c r="Y53" s="70"/>
      <c r="Z53" s="70"/>
      <c r="AA53" s="53"/>
    </row>
    <row r="54" spans="1:27" x14ac:dyDescent="0.2">
      <c r="A54" s="10" t="s">
        <v>53</v>
      </c>
      <c r="B54" s="11"/>
      <c r="C54" s="3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49"/>
      <c r="P54" s="53"/>
      <c r="Q54" s="57"/>
      <c r="R54" s="60"/>
      <c r="S54" s="70"/>
      <c r="T54" s="53"/>
      <c r="U54" s="53"/>
      <c r="V54" s="53"/>
      <c r="W54" s="53"/>
      <c r="X54" s="53"/>
      <c r="Y54" s="53"/>
      <c r="Z54" s="53"/>
      <c r="AA54" s="53"/>
    </row>
    <row r="55" spans="1:27" ht="27" thickBot="1" x14ac:dyDescent="0.25">
      <c r="A55" s="10" t="s">
        <v>54</v>
      </c>
      <c r="B55" s="11"/>
      <c r="C55" s="33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9"/>
      <c r="P55" s="53"/>
      <c r="Q55" s="94"/>
      <c r="R55" s="60"/>
      <c r="S55" s="70"/>
      <c r="T55" s="70"/>
      <c r="U55" s="61"/>
      <c r="V55" s="70"/>
      <c r="W55" s="60"/>
      <c r="X55" s="53"/>
      <c r="Y55" s="53"/>
      <c r="Z55" s="53"/>
      <c r="AA55" s="53"/>
    </row>
    <row r="56" spans="1:27" ht="13.8" thickBot="1" x14ac:dyDescent="0.25">
      <c r="A56" s="8" t="s">
        <v>28</v>
      </c>
      <c r="B56" s="13">
        <f>SUM(B57:B65)</f>
        <v>325269800</v>
      </c>
      <c r="C56" s="28">
        <f>SUM(C57:C65)</f>
        <v>36995381.07</v>
      </c>
      <c r="D56" s="41"/>
      <c r="E56" s="41"/>
      <c r="F56" s="43">
        <f>F57</f>
        <v>992248.41</v>
      </c>
      <c r="G56" s="43"/>
      <c r="H56" s="43"/>
      <c r="I56" s="78"/>
      <c r="J56" s="43">
        <v>7670</v>
      </c>
      <c r="K56" s="79">
        <f>K57</f>
        <v>-7670</v>
      </c>
      <c r="L56" s="79">
        <f>L65</f>
        <v>365983.37</v>
      </c>
      <c r="M56" s="79">
        <f>M65+M58+M57</f>
        <v>18965503.760000002</v>
      </c>
      <c r="N56" s="79">
        <f>F57+G56+J56+K56+L56+M56</f>
        <v>20323735.540000003</v>
      </c>
      <c r="O56" s="49"/>
      <c r="P56" s="53"/>
      <c r="Q56" s="70"/>
      <c r="R56" s="53"/>
      <c r="S56" s="53"/>
      <c r="T56" s="53"/>
      <c r="U56" s="53"/>
      <c r="V56" s="53"/>
      <c r="W56" s="57"/>
      <c r="X56" s="53"/>
      <c r="Y56" s="53"/>
      <c r="Z56" s="53"/>
      <c r="AA56" s="53"/>
    </row>
    <row r="57" spans="1:27" x14ac:dyDescent="0.2">
      <c r="A57" s="10" t="s">
        <v>29</v>
      </c>
      <c r="B57" s="12">
        <f>469800+5000000</f>
        <v>5469800</v>
      </c>
      <c r="C57" s="32">
        <f>250000+2342769.8+282231.4+4900000</f>
        <v>7775001.1999999993</v>
      </c>
      <c r="D57" s="40"/>
      <c r="E57" s="40"/>
      <c r="F57" s="7">
        <v>992248.41</v>
      </c>
      <c r="J57" s="40">
        <v>7670</v>
      </c>
      <c r="K57" s="40">
        <v>-7670</v>
      </c>
      <c r="L57" s="40"/>
      <c r="M57" s="40">
        <v>283402.39</v>
      </c>
      <c r="N57" s="40">
        <f>F57+J57+K57+M57</f>
        <v>1275650.8</v>
      </c>
      <c r="O57" s="49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spans="1:27" x14ac:dyDescent="0.2">
      <c r="A58" s="10" t="s">
        <v>30</v>
      </c>
      <c r="B58" s="12">
        <v>800000</v>
      </c>
      <c r="C58" s="26">
        <v>2205000</v>
      </c>
      <c r="D58" s="15"/>
      <c r="E58" s="15"/>
      <c r="F58" s="15"/>
      <c r="G58" s="15"/>
      <c r="H58" s="15"/>
      <c r="I58" s="15"/>
      <c r="J58" s="15"/>
      <c r="K58" s="15"/>
      <c r="L58" s="15"/>
      <c r="M58" s="15">
        <v>168740</v>
      </c>
      <c r="N58" s="15">
        <f>M58</f>
        <v>168740</v>
      </c>
      <c r="O58" s="49"/>
      <c r="P58" s="53"/>
      <c r="Q58" s="61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spans="1:27" x14ac:dyDescent="0.2">
      <c r="A59" s="10" t="s">
        <v>31</v>
      </c>
      <c r="B59" s="12">
        <v>3200000</v>
      </c>
      <c r="C59" s="32">
        <v>89000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49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spans="1:27" ht="26.4" x14ac:dyDescent="0.2">
      <c r="A60" s="10" t="s">
        <v>32</v>
      </c>
      <c r="B60" s="12">
        <f>10000000+5000000</f>
        <v>15000000</v>
      </c>
      <c r="C60" s="32">
        <v>41300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49"/>
      <c r="P60" s="53"/>
      <c r="Q60" s="70"/>
      <c r="R60" s="70"/>
      <c r="S60" s="70"/>
      <c r="T60" s="70"/>
      <c r="U60" s="53"/>
      <c r="V60" s="53"/>
      <c r="W60" s="53"/>
      <c r="X60" s="53"/>
      <c r="Y60" s="53"/>
      <c r="Z60" s="53"/>
      <c r="AA60" s="53"/>
    </row>
    <row r="61" spans="1:27" x14ac:dyDescent="0.2">
      <c r="A61" s="10" t="s">
        <v>33</v>
      </c>
      <c r="B61" s="11">
        <v>0</v>
      </c>
      <c r="C61" s="32">
        <f>200000+1143262.87+496817+45000</f>
        <v>1885079.87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49"/>
      <c r="P61" s="57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pans="1:27" x14ac:dyDescent="0.2">
      <c r="A62" s="10" t="s">
        <v>55</v>
      </c>
      <c r="B62" s="11"/>
      <c r="C62" s="33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49"/>
      <c r="P62" s="7"/>
      <c r="R62" s="23"/>
    </row>
    <row r="63" spans="1:27" x14ac:dyDescent="0.2">
      <c r="A63" s="10" t="s">
        <v>56</v>
      </c>
      <c r="B63" s="11" t="s">
        <v>87</v>
      </c>
      <c r="C63" s="33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49"/>
      <c r="P63" s="23"/>
      <c r="R63" s="23">
        <f>Q53+R53+S54+T53+V52+W52+X53+Y53+Z53</f>
        <v>0</v>
      </c>
    </row>
    <row r="64" spans="1:27" x14ac:dyDescent="0.2">
      <c r="A64" s="10" t="s">
        <v>34</v>
      </c>
      <c r="B64" s="11">
        <v>0</v>
      </c>
      <c r="C64" s="33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49"/>
      <c r="P64" s="7"/>
    </row>
    <row r="65" spans="1:17" ht="27" thickBot="1" x14ac:dyDescent="0.25">
      <c r="A65" s="10" t="s">
        <v>57</v>
      </c>
      <c r="B65" s="11">
        <v>300800000</v>
      </c>
      <c r="C65" s="32">
        <v>25000000</v>
      </c>
      <c r="D65" s="39"/>
      <c r="E65" s="39"/>
      <c r="F65" s="39"/>
      <c r="G65" s="39"/>
      <c r="H65" s="39"/>
      <c r="I65" s="39"/>
      <c r="J65" s="39"/>
      <c r="K65" s="39"/>
      <c r="L65" s="39">
        <v>365983.37</v>
      </c>
      <c r="M65" s="39">
        <f>204422.93+3916310.2+14392628.24</f>
        <v>18513361.370000001</v>
      </c>
      <c r="N65" s="39">
        <f>L65+M65</f>
        <v>18879344.740000002</v>
      </c>
      <c r="O65" s="49"/>
      <c r="P65" s="7"/>
    </row>
    <row r="66" spans="1:17" ht="13.8" thickBot="1" x14ac:dyDescent="0.25">
      <c r="A66" s="8" t="s">
        <v>58</v>
      </c>
      <c r="B66" s="13">
        <f>+B67+B68</f>
        <v>4277021435</v>
      </c>
      <c r="C66" s="35">
        <f>C67+C68</f>
        <v>4458332250.3400002</v>
      </c>
      <c r="D66" s="43">
        <f>D67</f>
        <v>110391366.58</v>
      </c>
      <c r="E66" s="43">
        <f>E68+E67</f>
        <v>10922222.359999999</v>
      </c>
      <c r="F66" s="43">
        <f>F67</f>
        <v>1210498817.97</v>
      </c>
      <c r="G66" s="43">
        <f>G67</f>
        <v>8372229.7799999993</v>
      </c>
      <c r="H66" s="43">
        <f>H68</f>
        <v>76253719.129999995</v>
      </c>
      <c r="I66" s="43">
        <f>I67+I68</f>
        <v>157256852.50999999</v>
      </c>
      <c r="J66" s="43">
        <f>J67</f>
        <v>5427000</v>
      </c>
      <c r="K66" s="43">
        <v>65985129.950000003</v>
      </c>
      <c r="L66" s="43">
        <f>L68+L67</f>
        <v>627779678.20000005</v>
      </c>
      <c r="M66" s="43">
        <f>M67+M68</f>
        <v>478946379.36000001</v>
      </c>
      <c r="N66" s="43">
        <f>D66+E66+F66+G66+H66+I66+J66+K66+L66+M66</f>
        <v>2751833395.8400006</v>
      </c>
      <c r="P66" s="80"/>
    </row>
    <row r="67" spans="1:17" x14ac:dyDescent="0.2">
      <c r="A67" s="10" t="s">
        <v>59</v>
      </c>
      <c r="B67" s="12">
        <f>125000000+5000000+2801570400+50000000+95062600</f>
        <v>3076633000</v>
      </c>
      <c r="C67" s="32">
        <f>60493000+25000000+3178835755.34+50000000</f>
        <v>3314328755.3400002</v>
      </c>
      <c r="D67" s="40">
        <v>110391366.58</v>
      </c>
      <c r="E67" s="40">
        <v>10922222.359999999</v>
      </c>
      <c r="F67" s="7">
        <f>1200000000+5362779.19+5136038.78</f>
        <v>1210498817.97</v>
      </c>
      <c r="G67" s="7">
        <f>3860884.15+4511345.63</f>
        <v>8372229.7799999993</v>
      </c>
      <c r="H67" s="64"/>
      <c r="I67" s="76">
        <v>37041707.450000003</v>
      </c>
      <c r="J67" s="76">
        <v>5427000</v>
      </c>
      <c r="K67" s="76"/>
      <c r="L67" s="76">
        <v>587261921.87</v>
      </c>
      <c r="M67" s="76">
        <v>126551109.42</v>
      </c>
      <c r="N67" s="40">
        <f>D67+E67+F67+G67+I67+J67+L67+M67</f>
        <v>2096466375.4300003</v>
      </c>
      <c r="O67" s="49"/>
      <c r="P67" s="80"/>
    </row>
    <row r="68" spans="1:17" x14ac:dyDescent="0.2">
      <c r="A68" s="10" t="s">
        <v>60</v>
      </c>
      <c r="B68" s="12">
        <f>50000000+730300000+25000000+100000000+105088435+25000000+50000000+65000000+50000000</f>
        <v>1200388435</v>
      </c>
      <c r="C68" s="32">
        <f>34000000+10000000+772807000+16000000+14113000+297083495</f>
        <v>1144003495</v>
      </c>
      <c r="D68" s="15"/>
      <c r="E68" s="64"/>
      <c r="F68" s="64"/>
      <c r="G68" s="64"/>
      <c r="H68" s="7">
        <v>76253719.129999995</v>
      </c>
      <c r="I68" s="7">
        <v>120215145.06</v>
      </c>
      <c r="J68" s="7"/>
      <c r="K68" s="49">
        <v>65985129.950000003</v>
      </c>
      <c r="L68" s="49">
        <v>40517756.329999998</v>
      </c>
      <c r="M68" s="49">
        <v>352395269.94</v>
      </c>
      <c r="N68" s="15">
        <f>H68+I68+K68+L68+M68</f>
        <v>655367020.40999997</v>
      </c>
      <c r="O68" s="49"/>
      <c r="P68" s="7"/>
    </row>
    <row r="69" spans="1:17" x14ac:dyDescent="0.2">
      <c r="A69" s="10" t="s">
        <v>61</v>
      </c>
      <c r="B69" s="11"/>
      <c r="C69" s="36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49"/>
      <c r="P69" s="7"/>
    </row>
    <row r="70" spans="1:17" ht="13.95" customHeight="1" thickBot="1" x14ac:dyDescent="0.25">
      <c r="A70" s="10" t="s">
        <v>62</v>
      </c>
      <c r="B70" s="11"/>
      <c r="C70" s="33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49"/>
      <c r="P70" s="23"/>
    </row>
    <row r="71" spans="1:17" ht="27.6" customHeight="1" thickBot="1" x14ac:dyDescent="0.25">
      <c r="A71" s="8" t="s">
        <v>63</v>
      </c>
      <c r="B71" s="16"/>
      <c r="C71" s="34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9"/>
      <c r="Q71" s="50"/>
    </row>
    <row r="72" spans="1:17" x14ac:dyDescent="0.2">
      <c r="A72" s="10" t="s">
        <v>64</v>
      </c>
      <c r="B72" s="11"/>
      <c r="C72" s="3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9"/>
      <c r="Q72" s="80"/>
    </row>
    <row r="73" spans="1:17" ht="27" thickBot="1" x14ac:dyDescent="0.25">
      <c r="A73" s="10" t="s">
        <v>65</v>
      </c>
      <c r="B73" s="11"/>
      <c r="C73" s="33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49"/>
      <c r="Q73" s="80"/>
    </row>
    <row r="74" spans="1:17" ht="13.8" thickBot="1" x14ac:dyDescent="0.25">
      <c r="A74" s="8" t="s">
        <v>66</v>
      </c>
      <c r="B74" s="16"/>
      <c r="C74" s="34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9"/>
      <c r="Q74" s="7"/>
    </row>
    <row r="75" spans="1:17" x14ac:dyDescent="0.2">
      <c r="A75" s="10" t="s">
        <v>67</v>
      </c>
      <c r="B75" s="11"/>
      <c r="C75" s="3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9"/>
    </row>
    <row r="76" spans="1:17" ht="12.6" customHeight="1" x14ac:dyDescent="0.2">
      <c r="A76" s="10" t="s">
        <v>68</v>
      </c>
      <c r="B76" s="11"/>
      <c r="C76" s="33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49"/>
    </row>
    <row r="77" spans="1:17" ht="27" thickBot="1" x14ac:dyDescent="0.25">
      <c r="A77" s="10" t="s">
        <v>69</v>
      </c>
      <c r="B77" s="11"/>
      <c r="C77" s="33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49"/>
    </row>
    <row r="78" spans="1:17" ht="13.8" thickBot="1" x14ac:dyDescent="0.25">
      <c r="A78" s="17" t="s">
        <v>35</v>
      </c>
      <c r="B78" s="13">
        <f>+B13</f>
        <v>5008002151</v>
      </c>
      <c r="C78" s="28">
        <f>+C13</f>
        <v>5015487707.2800007</v>
      </c>
      <c r="D78" s="43">
        <f t="shared" ref="D78:J78" si="0">D13</f>
        <v>127297044.56999999</v>
      </c>
      <c r="E78" s="43">
        <f t="shared" si="0"/>
        <v>57822372.550000004</v>
      </c>
      <c r="F78" s="43">
        <f t="shared" si="0"/>
        <v>1244256897.8700001</v>
      </c>
      <c r="G78" s="43">
        <f t="shared" si="0"/>
        <v>32713133.039999999</v>
      </c>
      <c r="H78" s="43">
        <f t="shared" si="0"/>
        <v>94876920.209999993</v>
      </c>
      <c r="I78" s="43">
        <f t="shared" si="0"/>
        <v>184743591.41</v>
      </c>
      <c r="J78" s="43">
        <f t="shared" si="0"/>
        <v>33215361.93</v>
      </c>
      <c r="K78" s="43">
        <f>K66+K56+K30+K20+K14</f>
        <v>82961101.5</v>
      </c>
      <c r="L78" s="43">
        <f>L13</f>
        <v>643127949.41000009</v>
      </c>
      <c r="M78" s="43">
        <f>M13</f>
        <v>528018375.67000002</v>
      </c>
      <c r="N78" s="43">
        <f>D78+E78+F78+G78+H78+I78+J78+K78+L78+M78</f>
        <v>3029032748.1600008</v>
      </c>
      <c r="O78" s="55"/>
      <c r="Q78" s="7"/>
    </row>
    <row r="79" spans="1:17" ht="13.8" thickBot="1" x14ac:dyDescent="0.25">
      <c r="A79" s="5" t="s">
        <v>70</v>
      </c>
      <c r="B79" s="18"/>
      <c r="C79" s="3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9"/>
    </row>
    <row r="80" spans="1:17" ht="13.8" thickBot="1" x14ac:dyDescent="0.25">
      <c r="A80" s="8" t="s">
        <v>71</v>
      </c>
      <c r="B80" s="16"/>
      <c r="C80" s="34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49"/>
    </row>
    <row r="81" spans="1:15" x14ac:dyDescent="0.2">
      <c r="A81" s="10" t="s">
        <v>72</v>
      </c>
      <c r="B81" s="11">
        <v>0</v>
      </c>
      <c r="C81" s="33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49"/>
    </row>
    <row r="82" spans="1:15" ht="13.8" thickBot="1" x14ac:dyDescent="0.25">
      <c r="A82" s="10" t="s">
        <v>73</v>
      </c>
      <c r="B82" s="11">
        <v>0</v>
      </c>
      <c r="C82" s="33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9"/>
    </row>
    <row r="83" spans="1:15" ht="13.8" thickBot="1" x14ac:dyDescent="0.25">
      <c r="A83" s="8" t="s">
        <v>74</v>
      </c>
      <c r="B83" s="16"/>
      <c r="C83" s="34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9"/>
    </row>
    <row r="84" spans="1:15" x14ac:dyDescent="0.2">
      <c r="A84" s="10" t="s">
        <v>75</v>
      </c>
      <c r="B84" s="11">
        <v>0</v>
      </c>
      <c r="C84" s="3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9"/>
    </row>
    <row r="85" spans="1:15" ht="13.8" thickBot="1" x14ac:dyDescent="0.25">
      <c r="A85" s="10" t="s">
        <v>76</v>
      </c>
      <c r="B85" s="11">
        <v>0</v>
      </c>
      <c r="C85" s="33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49"/>
    </row>
    <row r="86" spans="1:15" ht="13.8" thickBot="1" x14ac:dyDescent="0.25">
      <c r="A86" s="8" t="s">
        <v>77</v>
      </c>
      <c r="B86" s="16"/>
      <c r="C86" s="34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49"/>
    </row>
    <row r="87" spans="1:15" ht="13.8" thickBot="1" x14ac:dyDescent="0.25">
      <c r="A87" s="10" t="s">
        <v>78</v>
      </c>
      <c r="B87" s="11">
        <v>0</v>
      </c>
      <c r="C87" s="33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49"/>
    </row>
    <row r="88" spans="1:15" ht="13.8" thickBot="1" x14ac:dyDescent="0.25">
      <c r="A88" s="17" t="s">
        <v>79</v>
      </c>
      <c r="B88" s="16"/>
      <c r="C88" s="34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9"/>
    </row>
    <row r="89" spans="1:15" ht="13.8" thickBot="1" x14ac:dyDescent="0.25">
      <c r="B89" s="19"/>
      <c r="C89" s="37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9"/>
    </row>
    <row r="90" spans="1:15" ht="15.6" thickBot="1" x14ac:dyDescent="0.25">
      <c r="A90" s="20" t="s">
        <v>80</v>
      </c>
      <c r="B90" s="21">
        <f>+B78</f>
        <v>5008002151</v>
      </c>
      <c r="C90" s="38">
        <f>+C78</f>
        <v>5015487707.2800007</v>
      </c>
      <c r="D90" s="47">
        <f t="shared" ref="D90:J90" si="1">D78</f>
        <v>127297044.56999999</v>
      </c>
      <c r="E90" s="47">
        <f t="shared" si="1"/>
        <v>57822372.550000004</v>
      </c>
      <c r="F90" s="47">
        <f t="shared" si="1"/>
        <v>1244256897.8700001</v>
      </c>
      <c r="G90" s="47">
        <f t="shared" si="1"/>
        <v>32713133.039999999</v>
      </c>
      <c r="H90" s="47">
        <f t="shared" si="1"/>
        <v>94876920.209999993</v>
      </c>
      <c r="I90" s="47">
        <f t="shared" si="1"/>
        <v>184743591.41</v>
      </c>
      <c r="J90" s="47">
        <f t="shared" si="1"/>
        <v>33215361.93</v>
      </c>
      <c r="K90" s="47">
        <f>K78</f>
        <v>82961101.5</v>
      </c>
      <c r="L90" s="47">
        <f>L78</f>
        <v>643127949.41000009</v>
      </c>
      <c r="M90" s="47">
        <f>M78</f>
        <v>528018375.67000002</v>
      </c>
      <c r="N90" s="47">
        <f>D90+E90+F90+G90+H90+I90+J90+K90+L90+M90</f>
        <v>3029032748.1600008</v>
      </c>
      <c r="O90" s="55"/>
    </row>
    <row r="91" spans="1:15" ht="13.8" thickTop="1" x14ac:dyDescent="0.2">
      <c r="A91" s="1" t="s">
        <v>81</v>
      </c>
    </row>
    <row r="92" spans="1:15" x14ac:dyDescent="0.2">
      <c r="A92" s="1" t="s">
        <v>93</v>
      </c>
    </row>
    <row r="93" spans="1:15" x14ac:dyDescent="0.2">
      <c r="A93" s="1" t="s">
        <v>94</v>
      </c>
    </row>
    <row r="94" spans="1:15" x14ac:dyDescent="0.2">
      <c r="A94" s="1" t="s">
        <v>82</v>
      </c>
    </row>
    <row r="95" spans="1:15" x14ac:dyDescent="0.2">
      <c r="A95" s="22" t="s">
        <v>95</v>
      </c>
    </row>
    <row r="96" spans="1:15" x14ac:dyDescent="0.2">
      <c r="A96" s="1" t="s">
        <v>84</v>
      </c>
    </row>
    <row r="97" spans="1:1" x14ac:dyDescent="0.2">
      <c r="A97" s="1" t="s">
        <v>83</v>
      </c>
    </row>
    <row r="104" spans="1:1" x14ac:dyDescent="0.2">
      <c r="A104" s="1" t="s">
        <v>90</v>
      </c>
    </row>
    <row r="105" spans="1:1" x14ac:dyDescent="0.2">
      <c r="A105" s="1" t="s">
        <v>91</v>
      </c>
    </row>
    <row r="106" spans="1:1" x14ac:dyDescent="0.2">
      <c r="A106" s="1" t="s">
        <v>92</v>
      </c>
    </row>
  </sheetData>
  <mergeCells count="4">
    <mergeCell ref="A8:C8"/>
    <mergeCell ref="A9:C9"/>
    <mergeCell ref="A11:C11"/>
    <mergeCell ref="A10:C10"/>
  </mergeCells>
  <pageMargins left="0.7" right="0.7" top="0.75" bottom="0.75" header="0.3" footer="0.3"/>
  <pageSetup paperSize="5" scale="51" fitToWidth="0" orientation="portrait" horizontalDpi="4294967295" verticalDpi="4294967295" r:id="rId1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2024-05-28T16:41:22Z</cp:lastPrinted>
  <dcterms:created xsi:type="dcterms:W3CDTF">2018-04-17T18:57:16Z</dcterms:created>
  <dcterms:modified xsi:type="dcterms:W3CDTF">2024-06-10T18:46:01Z</dcterms:modified>
</cp:coreProperties>
</file>